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8" i="7" l="1"/>
  <c r="S18" i="7" s="1"/>
  <c r="G18" i="7"/>
  <c r="L18" i="7" s="1"/>
  <c r="O18" i="7" s="1"/>
  <c r="E18" i="7"/>
  <c r="Q57" i="6"/>
  <c r="P57" i="6"/>
  <c r="S57" i="6" s="1"/>
  <c r="I57" i="6"/>
  <c r="L57" i="6" s="1"/>
  <c r="O57" i="6" s="1"/>
  <c r="T57" i="6" s="1"/>
  <c r="G57" i="6"/>
  <c r="C57" i="6"/>
  <c r="B57" i="6"/>
  <c r="E57" i="6" s="1"/>
  <c r="U57" i="6" s="1"/>
  <c r="Q56" i="6"/>
  <c r="P56" i="6"/>
  <c r="S56" i="6" s="1"/>
  <c r="I56" i="6"/>
  <c r="L56" i="6" s="1"/>
  <c r="O56" i="6" s="1"/>
  <c r="G56" i="6"/>
  <c r="C56" i="6"/>
  <c r="B56" i="6"/>
  <c r="E56" i="6" s="1"/>
  <c r="Q55" i="6"/>
  <c r="P55" i="6"/>
  <c r="I55" i="6"/>
  <c r="G55" i="6"/>
  <c r="C55" i="6"/>
  <c r="B55" i="6"/>
  <c r="P54" i="6"/>
  <c r="S54" i="6" s="1"/>
  <c r="G54" i="6"/>
  <c r="L54" i="6" s="1"/>
  <c r="O54" i="6" s="1"/>
  <c r="T54" i="6" s="1"/>
  <c r="E54" i="6"/>
  <c r="Q159" i="5"/>
  <c r="P159" i="5"/>
  <c r="S159" i="5" s="1"/>
  <c r="I159" i="5"/>
  <c r="G159" i="5"/>
  <c r="L159" i="5" s="1"/>
  <c r="O159" i="5" s="1"/>
  <c r="C159" i="5"/>
  <c r="B159" i="5"/>
  <c r="Q158" i="5"/>
  <c r="P158" i="5"/>
  <c r="I158" i="5"/>
  <c r="G158" i="5"/>
  <c r="L158" i="5" s="1"/>
  <c r="O158" i="5" s="1"/>
  <c r="C158" i="5"/>
  <c r="B158" i="5"/>
  <c r="Q157" i="5"/>
  <c r="P157" i="5"/>
  <c r="S157" i="5" s="1"/>
  <c r="I157" i="5"/>
  <c r="G157" i="5"/>
  <c r="C157" i="5"/>
  <c r="B157" i="5"/>
  <c r="E157" i="5" s="1"/>
  <c r="Q156" i="5"/>
  <c r="P156" i="5"/>
  <c r="S156" i="5" s="1"/>
  <c r="I156" i="5"/>
  <c r="G156" i="5"/>
  <c r="L156" i="5" s="1"/>
  <c r="O156" i="5" s="1"/>
  <c r="T156" i="5" s="1"/>
  <c r="C156" i="5"/>
  <c r="B156" i="5"/>
  <c r="Q155" i="5"/>
  <c r="P155" i="5"/>
  <c r="S155" i="5" s="1"/>
  <c r="I155" i="5"/>
  <c r="G155" i="5"/>
  <c r="L155" i="5" s="1"/>
  <c r="O155" i="5" s="1"/>
  <c r="C155" i="5"/>
  <c r="B155" i="5"/>
  <c r="E155" i="5" s="1"/>
  <c r="Q154" i="5"/>
  <c r="P154" i="5"/>
  <c r="I154" i="5"/>
  <c r="G154" i="5"/>
  <c r="L154" i="5" s="1"/>
  <c r="O154" i="5" s="1"/>
  <c r="C154" i="5"/>
  <c r="B154" i="5"/>
  <c r="Q153" i="5"/>
  <c r="P153" i="5"/>
  <c r="S153" i="5" s="1"/>
  <c r="I153" i="5"/>
  <c r="G153" i="5"/>
  <c r="C153" i="5"/>
  <c r="B153" i="5"/>
  <c r="E153" i="5" s="1"/>
  <c r="Q152" i="5"/>
  <c r="P152" i="5"/>
  <c r="S152" i="5" s="1"/>
  <c r="I152" i="5"/>
  <c r="G152" i="5"/>
  <c r="L152" i="5" s="1"/>
  <c r="O152" i="5" s="1"/>
  <c r="C152" i="5"/>
  <c r="B152" i="5"/>
  <c r="S151" i="5"/>
  <c r="Q151" i="5"/>
  <c r="P151" i="5"/>
  <c r="I151" i="5"/>
  <c r="G151" i="5"/>
  <c r="L151" i="5" s="1"/>
  <c r="O151" i="5" s="1"/>
  <c r="C151" i="5"/>
  <c r="E151" i="5" s="1"/>
  <c r="P150" i="5"/>
  <c r="S150" i="5" s="1"/>
  <c r="G150" i="5"/>
  <c r="L150" i="5" s="1"/>
  <c r="O150" i="5" s="1"/>
  <c r="E150" i="5"/>
  <c r="T18" i="7" l="1"/>
  <c r="U18" i="7"/>
  <c r="S55" i="6"/>
  <c r="E55" i="6"/>
  <c r="T56" i="6"/>
  <c r="U56" i="6"/>
  <c r="L55" i="6"/>
  <c r="O55" i="6" s="1"/>
  <c r="U54" i="6"/>
  <c r="L153" i="5"/>
  <c r="O153" i="5" s="1"/>
  <c r="T153" i="5" s="1"/>
  <c r="U153" i="5" s="1"/>
  <c r="S154" i="5"/>
  <c r="T154" i="5" s="1"/>
  <c r="L157" i="5"/>
  <c r="O157" i="5" s="1"/>
  <c r="T157" i="5" s="1"/>
  <c r="S158" i="5"/>
  <c r="T152" i="5"/>
  <c r="T159" i="5"/>
  <c r="T151" i="5"/>
  <c r="U151" i="5" s="1"/>
  <c r="T155" i="5"/>
  <c r="U155" i="5" s="1"/>
  <c r="T158" i="5"/>
  <c r="U157" i="5"/>
  <c r="E156" i="5"/>
  <c r="U156" i="5" s="1"/>
  <c r="E158" i="5"/>
  <c r="E154" i="5"/>
  <c r="E152" i="5"/>
  <c r="U152" i="5" s="1"/>
  <c r="E159" i="5"/>
  <c r="U159" i="5" s="1"/>
  <c r="T150" i="5"/>
  <c r="U150" i="5" s="1"/>
  <c r="T55" i="6" l="1"/>
  <c r="U55" i="6" s="1"/>
  <c r="U154" i="5"/>
  <c r="U158" i="5"/>
  <c r="Q53" i="6" l="1"/>
  <c r="P53" i="6"/>
  <c r="G53" i="6"/>
  <c r="L53" i="6" s="1"/>
  <c r="O53" i="6" s="1"/>
  <c r="C53" i="6"/>
  <c r="B53" i="6"/>
  <c r="P52" i="6"/>
  <c r="S52" i="6" s="1"/>
  <c r="G52" i="6"/>
  <c r="L52" i="6" s="1"/>
  <c r="O52" i="6" s="1"/>
  <c r="C52" i="6"/>
  <c r="B52" i="6"/>
  <c r="E52" i="6" s="1"/>
  <c r="S51" i="6"/>
  <c r="G51" i="6"/>
  <c r="L51" i="6" s="1"/>
  <c r="O51" i="6" s="1"/>
  <c r="E51" i="6"/>
  <c r="P149" i="5"/>
  <c r="S149" i="5" s="1"/>
  <c r="G149" i="5"/>
  <c r="L149" i="5" s="1"/>
  <c r="O149" i="5" s="1"/>
  <c r="C149" i="5"/>
  <c r="B149" i="5"/>
  <c r="P148" i="5"/>
  <c r="S148" i="5" s="1"/>
  <c r="G148" i="5"/>
  <c r="L148" i="5" s="1"/>
  <c r="O148" i="5" s="1"/>
  <c r="T148" i="5" s="1"/>
  <c r="C148" i="5"/>
  <c r="B148" i="5"/>
  <c r="Q147" i="5"/>
  <c r="P147" i="5"/>
  <c r="S147" i="5" s="1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E145" i="5" s="1"/>
  <c r="P144" i="5"/>
  <c r="S144" i="5" s="1"/>
  <c r="G144" i="5"/>
  <c r="L144" i="5" s="1"/>
  <c r="O144" i="5" s="1"/>
  <c r="C144" i="5"/>
  <c r="B144" i="5"/>
  <c r="S143" i="5"/>
  <c r="P143" i="5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E142" i="5" l="1"/>
  <c r="E144" i="5"/>
  <c r="T145" i="5"/>
  <c r="S53" i="6"/>
  <c r="T53" i="6" s="1"/>
  <c r="T51" i="6"/>
  <c r="U51" i="6" s="1"/>
  <c r="T52" i="6"/>
  <c r="U52" i="6" s="1"/>
  <c r="E53" i="6"/>
  <c r="T144" i="5"/>
  <c r="U144" i="5" s="1"/>
  <c r="T143" i="5"/>
  <c r="T139" i="5"/>
  <c r="E149" i="5"/>
  <c r="T149" i="5"/>
  <c r="U149" i="5" s="1"/>
  <c r="T140" i="5"/>
  <c r="U140" i="5" s="1"/>
  <c r="T142" i="5"/>
  <c r="U142" i="5" s="1"/>
  <c r="E146" i="5"/>
  <c r="T141" i="5"/>
  <c r="U141" i="5" s="1"/>
  <c r="E143" i="5"/>
  <c r="T146" i="5"/>
  <c r="E148" i="5"/>
  <c r="U139" i="5"/>
  <c r="E147" i="5"/>
  <c r="U148" i="5"/>
  <c r="U145" i="5"/>
  <c r="T147" i="5"/>
  <c r="U146" i="5" l="1"/>
  <c r="U53" i="6"/>
  <c r="U143" i="5"/>
  <c r="U147" i="5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<sst xmlns="http://schemas.openxmlformats.org/spreadsheetml/2006/main" count="396" uniqueCount="82">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</sst>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8" fontId="14" fillId="0" borderId="10" xfId="0" quotePrefix="1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4" workbookViewId="0">
      <selection activeCell="G11" sqref="G11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44104</v>
      </c>
    </row>
    <row r="13" spans="2:5">
      <c r="B13" s="7" t="s">
        <v>31</v>
      </c>
      <c r="C13" s="8" t="s">
        <v>60</v>
      </c>
      <c r="D13" s="8" t="s">
        <v>31</v>
      </c>
      <c r="E13" s="10" t="s">
        <v>81</v>
      </c>
    </row>
    <row r="14" spans="2:5">
      <c r="B14" s="7" t="s">
        <v>32</v>
      </c>
      <c r="C14" s="8" t="s">
        <v>38</v>
      </c>
      <c r="D14" s="8" t="s">
        <v>32</v>
      </c>
      <c r="E14" s="9" t="s">
        <v>69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61"/>
  <sheetViews>
    <sheetView workbookViewId="0">
      <pane xSplit="1" ySplit="6" topLeftCell="T148" activePane="bottomRight" state="frozen"/>
      <selection pane="topRight" activeCell="B1" sqref="B1"/>
      <selection pane="bottomLeft" activeCell="A7" sqref="A7"/>
      <selection pane="bottomRight" activeCell="A150" sqref="A150:XFD150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38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38" si="15">S103+O103</f>
        <v>1525853.7583333333</v>
      </c>
      <c r="U103" s="31">
        <f t="shared" ref="U103:U138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38" si="17">SUM(F135:K135)</f>
        <v>1658161.8000000003</v>
      </c>
      <c r="M135" s="32">
        <v>353050.4</v>
      </c>
      <c r="N135" s="31">
        <v>67423.399999999994</v>
      </c>
      <c r="O135" s="33">
        <f t="shared" ref="O135:O138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38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5.75">
      <c r="A139" s="30">
        <v>43466</v>
      </c>
      <c r="B139" s="32">
        <v>-182568.59999999998</v>
      </c>
      <c r="C139" s="32">
        <v>-55757.799999999988</v>
      </c>
      <c r="D139" s="32" t="s">
        <v>2</v>
      </c>
      <c r="E139" s="31">
        <f t="shared" ref="E139:E149" si="20">+SUM(B139:D139)</f>
        <v>-238326.39999999997</v>
      </c>
      <c r="F139" s="32">
        <v>174198.6</v>
      </c>
      <c r="G139" s="32">
        <v>986516.79999999993</v>
      </c>
      <c r="H139" s="32"/>
      <c r="I139" s="32">
        <v>57507.799999999996</v>
      </c>
      <c r="J139" s="32">
        <v>40405.800000000003</v>
      </c>
      <c r="K139" s="32">
        <v>521293.6</v>
      </c>
      <c r="L139" s="33">
        <f t="shared" ref="L139:L149" si="21">+SUM(F139:K139)</f>
        <v>1779922.6</v>
      </c>
      <c r="M139" s="32">
        <v>370633.2</v>
      </c>
      <c r="N139" s="31">
        <v>61052.1</v>
      </c>
      <c r="O139" s="33">
        <f t="shared" ref="O139:O159" si="22">+L139-M139-N139</f>
        <v>1348237.3</v>
      </c>
      <c r="P139" s="38">
        <v>36041.299999999996</v>
      </c>
      <c r="Q139" s="33">
        <v>977163.1</v>
      </c>
      <c r="R139" s="33">
        <v>6363.7</v>
      </c>
      <c r="S139" s="31">
        <f t="shared" ref="S139:S140" si="23">SUM(P139:R139)</f>
        <v>1019568.1</v>
      </c>
      <c r="T139" s="35">
        <f t="shared" ref="T139:T159" si="24">SUM(O139,S139)</f>
        <v>2367805.4</v>
      </c>
      <c r="U139" s="31">
        <f t="shared" ref="U139:U159" si="25">SUM(E139,T139)</f>
        <v>2129479</v>
      </c>
    </row>
    <row r="140" spans="1:21" s="37" customFormat="1" ht="15.75">
      <c r="A140" s="30">
        <v>43524</v>
      </c>
      <c r="B140" s="32">
        <v>-148014.80000000002</v>
      </c>
      <c r="C140" s="32">
        <v>-56830.499999999971</v>
      </c>
      <c r="D140" s="32" t="s">
        <v>2</v>
      </c>
      <c r="E140" s="31">
        <f t="shared" si="20"/>
        <v>-204845.3</v>
      </c>
      <c r="F140" s="32">
        <v>195688.4</v>
      </c>
      <c r="G140" s="32">
        <v>1016767.7000000001</v>
      </c>
      <c r="H140" s="32"/>
      <c r="I140" s="32">
        <v>55457.5</v>
      </c>
      <c r="J140" s="32">
        <v>39012.5</v>
      </c>
      <c r="K140" s="32">
        <v>520084.5</v>
      </c>
      <c r="L140" s="33">
        <f t="shared" si="21"/>
        <v>1827010.6</v>
      </c>
      <c r="M140" s="32">
        <v>368080.4</v>
      </c>
      <c r="N140" s="31">
        <v>64711.1</v>
      </c>
      <c r="O140" s="33">
        <f t="shared" si="22"/>
        <v>1394219.1</v>
      </c>
      <c r="P140" s="38">
        <v>34014.400000000001</v>
      </c>
      <c r="Q140" s="33">
        <v>991824.5</v>
      </c>
      <c r="R140" s="33">
        <v>6912.9</v>
      </c>
      <c r="S140" s="31">
        <f t="shared" si="23"/>
        <v>1032751.8</v>
      </c>
      <c r="T140" s="35">
        <f t="shared" si="24"/>
        <v>2426970.9000000004</v>
      </c>
      <c r="U140" s="31">
        <f t="shared" si="25"/>
        <v>2222125.6000000006</v>
      </c>
    </row>
    <row r="141" spans="1:21" s="37" customFormat="1" ht="15.75">
      <c r="A141" s="30">
        <v>43555</v>
      </c>
      <c r="B141" s="32">
        <v>-166782.39999999999</v>
      </c>
      <c r="C141" s="32">
        <v>-62620.70000000007</v>
      </c>
      <c r="D141" s="32" t="s">
        <v>2</v>
      </c>
      <c r="E141" s="31">
        <f t="shared" si="20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66134.8</v>
      </c>
      <c r="J141" s="32">
        <v>36225.9</v>
      </c>
      <c r="K141" s="32">
        <v>518306</v>
      </c>
      <c r="L141" s="33">
        <f t="shared" si="21"/>
        <v>1880056.4</v>
      </c>
      <c r="M141" s="32">
        <v>412450</v>
      </c>
      <c r="N141" s="31">
        <v>58269.8</v>
      </c>
      <c r="O141" s="33">
        <f t="shared" si="22"/>
        <v>1409336.5999999999</v>
      </c>
      <c r="P141" s="38">
        <v>32296.6</v>
      </c>
      <c r="Q141" s="33">
        <v>1008148.3000000002</v>
      </c>
      <c r="R141" s="33">
        <v>6662.7</v>
      </c>
      <c r="S141" s="31">
        <f t="shared" ref="S141" si="26">SUM(P141:R141)</f>
        <v>1047107.6000000001</v>
      </c>
      <c r="T141" s="35">
        <f t="shared" si="24"/>
        <v>2456444.2000000002</v>
      </c>
      <c r="U141" s="31">
        <f t="shared" si="25"/>
        <v>2227041.1</v>
      </c>
    </row>
    <row r="142" spans="1:21" s="37" customFormat="1" ht="15.75">
      <c r="A142" s="30">
        <v>43585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20"/>
        <v>-236973.7</v>
      </c>
      <c r="F142" s="32">
        <v>195994.1</v>
      </c>
      <c r="G142" s="32">
        <f>50233.1+1006432.8+19500</f>
        <v>1076165.9000000001</v>
      </c>
      <c r="H142" s="32"/>
      <c r="I142" s="32">
        <v>66482.8</v>
      </c>
      <c r="J142" s="32">
        <v>36225.9</v>
      </c>
      <c r="K142" s="32">
        <v>517334.5</v>
      </c>
      <c r="L142" s="33">
        <f t="shared" si="21"/>
        <v>1892203.2000000002</v>
      </c>
      <c r="M142" s="32">
        <v>390323.7</v>
      </c>
      <c r="N142" s="31">
        <v>56955.6</v>
      </c>
      <c r="O142" s="33">
        <f t="shared" si="22"/>
        <v>1444923.9000000001</v>
      </c>
      <c r="P142" s="38">
        <v>33330.999999999993</v>
      </c>
      <c r="Q142" s="33">
        <v>1004160.3</v>
      </c>
      <c r="R142" s="33">
        <v>6674.3</v>
      </c>
      <c r="S142" s="31">
        <f t="shared" ref="S142" si="27">SUM(P142:R142)</f>
        <v>1044165.6000000001</v>
      </c>
      <c r="T142" s="35">
        <f t="shared" si="24"/>
        <v>2489089.5</v>
      </c>
      <c r="U142" s="31">
        <f t="shared" si="25"/>
        <v>2252115.7999999998</v>
      </c>
    </row>
    <row r="143" spans="1:21" s="37" customFormat="1" ht="15.75">
      <c r="A143" s="30">
        <v>43616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20"/>
        <v>-190248</v>
      </c>
      <c r="F143" s="32">
        <v>191866.3</v>
      </c>
      <c r="G143" s="32">
        <f>45273+1055617.8+16915</f>
        <v>1117805.8</v>
      </c>
      <c r="H143" s="32"/>
      <c r="I143" s="32">
        <v>59356.399999999994</v>
      </c>
      <c r="J143" s="32">
        <v>34832.6</v>
      </c>
      <c r="K143" s="32">
        <v>515247.9</v>
      </c>
      <c r="L143" s="33">
        <f t="shared" si="21"/>
        <v>1919109</v>
      </c>
      <c r="M143" s="32">
        <v>428305.4</v>
      </c>
      <c r="N143" s="31">
        <v>67301.8</v>
      </c>
      <c r="O143" s="33">
        <f t="shared" si="22"/>
        <v>1423501.8</v>
      </c>
      <c r="P143" s="38">
        <f>28149+101.6</f>
        <v>28250.6</v>
      </c>
      <c r="Q143" s="33">
        <v>1036819.9</v>
      </c>
      <c r="R143" s="33">
        <v>6967</v>
      </c>
      <c r="S143" s="31">
        <f t="shared" ref="S143:S159" si="28">SUM(P143:R143)</f>
        <v>1072037.5</v>
      </c>
      <c r="T143" s="35">
        <f t="shared" si="24"/>
        <v>2495539.2999999998</v>
      </c>
      <c r="U143" s="31">
        <f t="shared" si="25"/>
        <v>2305291.2999999998</v>
      </c>
    </row>
    <row r="144" spans="1:21" s="37" customFormat="1" ht="15.75">
      <c r="A144" s="30">
        <v>43646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20"/>
        <v>-194252.90000000002</v>
      </c>
      <c r="F144" s="32">
        <v>216009.2</v>
      </c>
      <c r="G144" s="32">
        <f>42174.9+1084518.3+16965</f>
        <v>1143658.2</v>
      </c>
      <c r="H144" s="32"/>
      <c r="I144" s="32">
        <v>59215</v>
      </c>
      <c r="J144" s="32">
        <v>32046</v>
      </c>
      <c r="K144" s="32">
        <v>514038.8</v>
      </c>
      <c r="L144" s="33">
        <f t="shared" si="21"/>
        <v>1964967.2</v>
      </c>
      <c r="M144" s="32">
        <v>427944.6</v>
      </c>
      <c r="N144" s="31">
        <v>62402.2</v>
      </c>
      <c r="O144" s="33">
        <f t="shared" si="22"/>
        <v>1474620.4000000001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28"/>
        <v>1103705.6000000001</v>
      </c>
      <c r="T144" s="35">
        <f t="shared" si="24"/>
        <v>2578326</v>
      </c>
      <c r="U144" s="31">
        <f t="shared" si="25"/>
        <v>2384073.1</v>
      </c>
    </row>
    <row r="145" spans="1:23" s="37" customFormat="1" ht="18">
      <c r="A145" s="30" t="s">
        <v>64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si="20"/>
        <v>-234029.10000000003</v>
      </c>
      <c r="F145" s="32">
        <v>158917.5</v>
      </c>
      <c r="G145" s="32">
        <f>43953+1112283.8+13837</f>
        <v>1170073.8</v>
      </c>
      <c r="H145" s="32"/>
      <c r="I145" s="32">
        <v>59569.2</v>
      </c>
      <c r="J145" s="32">
        <v>30652.7</v>
      </c>
      <c r="K145" s="32">
        <v>512829.7</v>
      </c>
      <c r="L145" s="33">
        <f t="shared" si="21"/>
        <v>1932042.9</v>
      </c>
      <c r="M145" s="32">
        <v>385962.8</v>
      </c>
      <c r="N145" s="31">
        <v>69016.7</v>
      </c>
      <c r="O145" s="33">
        <f t="shared" si="22"/>
        <v>1477063.4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si="28"/>
        <v>1143603.1333333333</v>
      </c>
      <c r="T145" s="35">
        <f t="shared" si="24"/>
        <v>2620666.5333333332</v>
      </c>
      <c r="U145" s="31">
        <f t="shared" si="25"/>
        <v>2386637.4333333331</v>
      </c>
    </row>
    <row r="146" spans="1:23" s="37" customFormat="1" ht="18">
      <c r="A146" s="30" t="s">
        <v>65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v>59899.3</v>
      </c>
      <c r="J146" s="32">
        <v>30652.7</v>
      </c>
      <c r="K146" s="32">
        <v>728838.8</v>
      </c>
      <c r="L146" s="33">
        <f t="shared" si="21"/>
        <v>2031846.9000000001</v>
      </c>
      <c r="M146" s="32">
        <v>467552.1</v>
      </c>
      <c r="N146" s="31">
        <v>76766.3</v>
      </c>
      <c r="O146" s="33">
        <f t="shared" si="22"/>
        <v>1487528.5000000002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8"/>
        <v>1153935.4666666666</v>
      </c>
      <c r="T146" s="35">
        <f t="shared" si="24"/>
        <v>2641463.9666666668</v>
      </c>
      <c r="U146" s="31">
        <f t="shared" si="25"/>
        <v>2398944.2666666666</v>
      </c>
    </row>
    <row r="147" spans="1:23" s="37" customFormat="1" ht="18">
      <c r="A147" s="30" t="s">
        <v>66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v>66552.3</v>
      </c>
      <c r="J147" s="32">
        <v>29259.4</v>
      </c>
      <c r="K147" s="32">
        <v>727629.7</v>
      </c>
      <c r="L147" s="33">
        <f t="shared" si="21"/>
        <v>2064834</v>
      </c>
      <c r="M147" s="32">
        <v>478795.5</v>
      </c>
      <c r="N147" s="31">
        <v>82107.899999999994</v>
      </c>
      <c r="O147" s="33">
        <f t="shared" si="22"/>
        <v>1503930.6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8"/>
        <v>1179708.1000000001</v>
      </c>
      <c r="T147" s="35">
        <f t="shared" si="24"/>
        <v>2683638.7000000002</v>
      </c>
      <c r="U147" s="31">
        <f t="shared" si="25"/>
        <v>2456056.4000000004</v>
      </c>
    </row>
    <row r="148" spans="1:23" s="37" customFormat="1" ht="18">
      <c r="A148" s="30" t="s">
        <v>67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si="20"/>
        <v>-236232.9</v>
      </c>
      <c r="F148" s="32">
        <v>0</v>
      </c>
      <c r="G148" s="32">
        <f>53363+1194779.6+32675</f>
        <v>1280817.6000000001</v>
      </c>
      <c r="H148" s="32"/>
      <c r="I148" s="32">
        <v>78529.600000000006</v>
      </c>
      <c r="J148" s="32">
        <v>26472.7</v>
      </c>
      <c r="K148" s="32">
        <v>725211.5</v>
      </c>
      <c r="L148" s="33">
        <f t="shared" si="21"/>
        <v>2111031.4000000004</v>
      </c>
      <c r="M148" s="32">
        <v>498832</v>
      </c>
      <c r="N148" s="31">
        <v>93562</v>
      </c>
      <c r="O148" s="33">
        <f t="shared" si="22"/>
        <v>1518637.4000000004</v>
      </c>
      <c r="P148" s="38">
        <f>25102.5+101.6</f>
        <v>25204.1</v>
      </c>
      <c r="Q148" s="33">
        <v>1169942.3999999999</v>
      </c>
      <c r="R148" s="33">
        <v>547.9</v>
      </c>
      <c r="S148" s="31">
        <f t="shared" si="28"/>
        <v>1195694.3999999999</v>
      </c>
      <c r="T148" s="35">
        <f t="shared" si="24"/>
        <v>2714331.8000000003</v>
      </c>
      <c r="U148" s="31">
        <f t="shared" si="25"/>
        <v>2478098.9000000004</v>
      </c>
    </row>
    <row r="149" spans="1:23" s="37" customFormat="1" ht="18">
      <c r="A149" s="30" t="s">
        <v>68</v>
      </c>
      <c r="B149" s="32">
        <f>126892.2-290211.4</f>
        <v>-163319.20000000001</v>
      </c>
      <c r="C149" s="32">
        <f>127575.1-218706.9</f>
        <v>-91131.799999999988</v>
      </c>
      <c r="D149" s="32" t="s">
        <v>2</v>
      </c>
      <c r="E149" s="31">
        <f t="shared" si="20"/>
        <v>-254451</v>
      </c>
      <c r="F149" s="32">
        <v>0</v>
      </c>
      <c r="G149" s="32">
        <f>53183+1221678.4+39075</f>
        <v>1313936.3999999999</v>
      </c>
      <c r="H149" s="32"/>
      <c r="I149" s="32">
        <v>75442.400000000009</v>
      </c>
      <c r="J149" s="32">
        <v>25079.5</v>
      </c>
      <c r="K149" s="32">
        <v>724002.3</v>
      </c>
      <c r="L149" s="33">
        <f t="shared" si="21"/>
        <v>2138460.5999999996</v>
      </c>
      <c r="M149" s="32">
        <v>490631.8</v>
      </c>
      <c r="N149" s="31">
        <v>94982.5</v>
      </c>
      <c r="O149" s="33">
        <f t="shared" si="22"/>
        <v>1552846.2999999996</v>
      </c>
      <c r="P149" s="38">
        <f>25813.2+101.6</f>
        <v>25914.799999999999</v>
      </c>
      <c r="Q149" s="33">
        <v>1198837.8999999999</v>
      </c>
      <c r="R149" s="33">
        <v>496</v>
      </c>
      <c r="S149" s="31">
        <f t="shared" si="28"/>
        <v>1225248.7</v>
      </c>
      <c r="T149" s="35">
        <f t="shared" si="24"/>
        <v>2778094.9999999995</v>
      </c>
      <c r="U149" s="31">
        <f t="shared" si="25"/>
        <v>2523643.9999999995</v>
      </c>
    </row>
    <row r="150" spans="1:23" s="37" customFormat="1" ht="18">
      <c r="A150" s="30" t="s">
        <v>70</v>
      </c>
      <c r="B150" s="32">
        <v>-129390.7</v>
      </c>
      <c r="C150" s="32">
        <v>-76949.600000000006</v>
      </c>
      <c r="D150" s="32" t="s">
        <v>2</v>
      </c>
      <c r="E150" s="31">
        <f t="shared" ref="E150:E159" si="29">+SUM(B150:D150)</f>
        <v>-206340.3</v>
      </c>
      <c r="F150" s="32">
        <v>0</v>
      </c>
      <c r="G150" s="32">
        <f>57683+1228622.8+55165.1</f>
        <v>1341470.9000000001</v>
      </c>
      <c r="H150" s="32"/>
      <c r="I150" s="32">
        <v>73356.899999999994</v>
      </c>
      <c r="J150" s="32">
        <v>23686.2</v>
      </c>
      <c r="K150" s="32">
        <v>722793.2</v>
      </c>
      <c r="L150" s="33">
        <f t="shared" ref="L150:L159" si="30">+SUM(F150:K150)</f>
        <v>2161307.2000000002</v>
      </c>
      <c r="M150" s="32">
        <v>443910.5</v>
      </c>
      <c r="N150" s="31">
        <v>95938.2</v>
      </c>
      <c r="O150" s="33">
        <f t="shared" si="22"/>
        <v>1621458.5000000002</v>
      </c>
      <c r="P150" s="38">
        <f>42076.6+101.6</f>
        <v>42178.2</v>
      </c>
      <c r="Q150" s="33">
        <v>1165927.2000000002</v>
      </c>
      <c r="R150" s="33">
        <v>458.5</v>
      </c>
      <c r="S150" s="31">
        <f t="shared" si="28"/>
        <v>1208563.9000000001</v>
      </c>
      <c r="T150" s="35">
        <f t="shared" si="24"/>
        <v>2830022.4000000004</v>
      </c>
      <c r="U150" s="31">
        <f t="shared" si="25"/>
        <v>2623682.1000000006</v>
      </c>
    </row>
    <row r="151" spans="1:23" s="37" customFormat="1" ht="18">
      <c r="A151" s="30" t="s">
        <v>71</v>
      </c>
      <c r="B151" s="32">
        <v>-173480.90000000002</v>
      </c>
      <c r="C151" s="32">
        <f>137465.3-279253.2</f>
        <v>-141787.90000000002</v>
      </c>
      <c r="D151" s="32" t="s">
        <v>2</v>
      </c>
      <c r="E151" s="31">
        <f t="shared" si="29"/>
        <v>-315268.80000000005</v>
      </c>
      <c r="F151" s="32">
        <v>0</v>
      </c>
      <c r="G151" s="32">
        <f>58183+1259952.3+60781.1</f>
        <v>1378916.4000000001</v>
      </c>
      <c r="H151" s="32"/>
      <c r="I151" s="32">
        <f>18507.3+102288.1</f>
        <v>120795.40000000001</v>
      </c>
      <c r="J151" s="32">
        <v>23686.1</v>
      </c>
      <c r="K151" s="32">
        <v>722793.2</v>
      </c>
      <c r="L151" s="33">
        <f t="shared" si="30"/>
        <v>2246191.1</v>
      </c>
      <c r="M151" s="32">
        <v>447113.3</v>
      </c>
      <c r="N151" s="31">
        <v>97728.6</v>
      </c>
      <c r="O151" s="33">
        <f t="shared" si="22"/>
        <v>1701349.2</v>
      </c>
      <c r="P151" s="38">
        <f>37419.8+101.6</f>
        <v>37521.4</v>
      </c>
      <c r="Q151" s="33">
        <f>1140255.6+4738.9+51103.3</f>
        <v>1196097.8</v>
      </c>
      <c r="R151" s="33">
        <v>370.8</v>
      </c>
      <c r="S151" s="31">
        <f t="shared" si="28"/>
        <v>1233990</v>
      </c>
      <c r="T151" s="35">
        <f t="shared" si="24"/>
        <v>2935339.2</v>
      </c>
      <c r="U151" s="31">
        <f t="shared" si="25"/>
        <v>2620070.4000000004</v>
      </c>
    </row>
    <row r="152" spans="1:23" s="37" customFormat="1" ht="18">
      <c r="A152" s="30" t="s">
        <v>73</v>
      </c>
      <c r="B152" s="32">
        <f>231895.4-363145.9</f>
        <v>-131250.50000000003</v>
      </c>
      <c r="C152" s="32">
        <f>154904-268234.5</f>
        <v>-113330.5</v>
      </c>
      <c r="D152" s="32" t="s">
        <v>2</v>
      </c>
      <c r="E152" s="31">
        <f t="shared" si="29"/>
        <v>-244581.00000000003</v>
      </c>
      <c r="F152" s="32">
        <v>0</v>
      </c>
      <c r="G152" s="32">
        <f>57464.1+1268439.4+61016.5</f>
        <v>1386920</v>
      </c>
      <c r="H152" s="32"/>
      <c r="I152" s="32">
        <f>18507.3+102880.8</f>
        <v>121388.1</v>
      </c>
      <c r="J152" s="32">
        <v>22292.799999999999</v>
      </c>
      <c r="K152" s="32">
        <v>721584.1</v>
      </c>
      <c r="L152" s="33">
        <f t="shared" si="30"/>
        <v>2252185</v>
      </c>
      <c r="M152" s="32">
        <v>456925.6</v>
      </c>
      <c r="N152" s="31">
        <v>96011.1</v>
      </c>
      <c r="O152" s="33">
        <f t="shared" si="22"/>
        <v>1699248.2999999998</v>
      </c>
      <c r="P152" s="38">
        <f>34652.5+101.6</f>
        <v>34754.1</v>
      </c>
      <c r="Q152" s="33">
        <f>1130849.3+4802.7+49335.8</f>
        <v>1184987.8</v>
      </c>
      <c r="R152" s="33">
        <v>327</v>
      </c>
      <c r="S152" s="31">
        <f t="shared" si="28"/>
        <v>1220068.9000000001</v>
      </c>
      <c r="T152" s="35">
        <f t="shared" si="24"/>
        <v>2919317.2</v>
      </c>
      <c r="U152" s="31">
        <f t="shared" si="25"/>
        <v>2674736.2000000002</v>
      </c>
    </row>
    <row r="153" spans="1:23" s="37" customFormat="1" ht="18">
      <c r="A153" s="30" t="s">
        <v>74</v>
      </c>
      <c r="B153" s="32">
        <f>194289.3-361308.8</f>
        <v>-167019.5</v>
      </c>
      <c r="C153" s="32">
        <f>143352.6-261170.6</f>
        <v>-117818</v>
      </c>
      <c r="D153" s="32" t="s">
        <v>2</v>
      </c>
      <c r="E153" s="31">
        <f t="shared" si="29"/>
        <v>-284837.5</v>
      </c>
      <c r="F153" s="32">
        <v>0</v>
      </c>
      <c r="G153" s="32">
        <f>51183+1270664.1+59841.5</f>
        <v>1381688.6</v>
      </c>
      <c r="H153" s="32"/>
      <c r="I153" s="32">
        <f>18507.3+103560.4</f>
        <v>122067.7</v>
      </c>
      <c r="J153" s="32">
        <v>19506.2</v>
      </c>
      <c r="K153" s="32">
        <v>719165.8</v>
      </c>
      <c r="L153" s="33">
        <f t="shared" si="30"/>
        <v>2242428.2999999998</v>
      </c>
      <c r="M153" s="32">
        <v>503862</v>
      </c>
      <c r="N153" s="31">
        <v>77027.199999999997</v>
      </c>
      <c r="O153" s="33">
        <f t="shared" si="22"/>
        <v>1661539.0999999999</v>
      </c>
      <c r="P153" s="38">
        <f>32138.3+101.6</f>
        <v>32239.899999999998</v>
      </c>
      <c r="Q153" s="33">
        <f>1159740.9+4846.3+47836</f>
        <v>1212423.2</v>
      </c>
      <c r="R153" s="33">
        <v>342.2</v>
      </c>
      <c r="S153" s="31">
        <f t="shared" si="28"/>
        <v>1245005.2999999998</v>
      </c>
      <c r="T153" s="35">
        <f t="shared" si="24"/>
        <v>2906544.3999999994</v>
      </c>
      <c r="U153" s="31">
        <f t="shared" si="25"/>
        <v>2621706.8999999994</v>
      </c>
    </row>
    <row r="154" spans="1:23" s="37" customFormat="1" ht="18">
      <c r="A154" s="30" t="s">
        <v>75</v>
      </c>
      <c r="B154" s="32">
        <f>182570.8-361783</f>
        <v>-179212.2</v>
      </c>
      <c r="C154" s="32">
        <f>139173-266161.9</f>
        <v>-126988.90000000002</v>
      </c>
      <c r="D154" s="32" t="s">
        <v>2</v>
      </c>
      <c r="E154" s="31">
        <f t="shared" si="29"/>
        <v>-306201.10000000003</v>
      </c>
      <c r="F154" s="32">
        <v>0</v>
      </c>
      <c r="G154" s="32">
        <f>50533.1+1285753.9+49093.9</f>
        <v>1385380.9</v>
      </c>
      <c r="H154" s="32"/>
      <c r="I154" s="32">
        <f>18507.3+104228.7</f>
        <v>122736</v>
      </c>
      <c r="J154" s="32">
        <v>18112.900000000001</v>
      </c>
      <c r="K154" s="32">
        <v>717956.7</v>
      </c>
      <c r="L154" s="33">
        <f t="shared" si="30"/>
        <v>2244186.5</v>
      </c>
      <c r="M154" s="32">
        <v>464273.2</v>
      </c>
      <c r="N154" s="31">
        <v>73644.3</v>
      </c>
      <c r="O154" s="33">
        <f t="shared" si="22"/>
        <v>1706269</v>
      </c>
      <c r="P154" s="38">
        <f>33552.3+101.6</f>
        <v>33653.9</v>
      </c>
      <c r="Q154" s="33">
        <f>1165810.8+4873.8+44060.8</f>
        <v>1214745.4000000001</v>
      </c>
      <c r="R154" s="33">
        <v>357.29999999999995</v>
      </c>
      <c r="S154" s="31">
        <f t="shared" si="28"/>
        <v>1248756.6000000001</v>
      </c>
      <c r="T154" s="35">
        <f t="shared" si="24"/>
        <v>2955025.6</v>
      </c>
      <c r="U154" s="31">
        <f t="shared" si="25"/>
        <v>2648824.5</v>
      </c>
    </row>
    <row r="155" spans="1:23" s="37" customFormat="1" ht="18">
      <c r="A155" s="30" t="s">
        <v>76</v>
      </c>
      <c r="B155" s="32">
        <f>172039.8-357937.1</f>
        <v>-185897.3</v>
      </c>
      <c r="C155" s="32">
        <f>130855.2-285542.3</f>
        <v>-154687.09999999998</v>
      </c>
      <c r="D155" s="32" t="s">
        <v>2</v>
      </c>
      <c r="E155" s="31">
        <f t="shared" si="29"/>
        <v>-340584.39999999997</v>
      </c>
      <c r="F155" s="32">
        <v>0</v>
      </c>
      <c r="G155" s="32">
        <f>64033.1+1297860.1+49605.6</f>
        <v>1411498.8000000003</v>
      </c>
      <c r="H155" s="32"/>
      <c r="I155" s="32">
        <f>18507.3+97709.7+1852.2</f>
        <v>118069.2</v>
      </c>
      <c r="J155" s="32">
        <v>18112.900000000001</v>
      </c>
      <c r="K155" s="32">
        <v>717956.7</v>
      </c>
      <c r="L155" s="33">
        <f t="shared" si="30"/>
        <v>2265637.6</v>
      </c>
      <c r="M155" s="32">
        <v>499649.2</v>
      </c>
      <c r="N155" s="31">
        <v>75206.899999999994</v>
      </c>
      <c r="O155" s="33">
        <f t="shared" si="22"/>
        <v>1690781.5000000002</v>
      </c>
      <c r="P155" s="38">
        <f>30459.2+101.6</f>
        <v>30560.799999999999</v>
      </c>
      <c r="Q155" s="33">
        <f>1229771.4+4901.3+47824.9</f>
        <v>1282497.5999999999</v>
      </c>
      <c r="R155" s="33">
        <v>552.5</v>
      </c>
      <c r="S155" s="31">
        <f t="shared" si="28"/>
        <v>1313610.8999999999</v>
      </c>
      <c r="T155" s="35">
        <f t="shared" si="24"/>
        <v>3004392.4000000004</v>
      </c>
      <c r="U155" s="31">
        <f t="shared" si="25"/>
        <v>2663808.0000000005</v>
      </c>
    </row>
    <row r="156" spans="1:23" s="37" customFormat="1" ht="18">
      <c r="A156" s="30" t="s">
        <v>77</v>
      </c>
      <c r="B156" s="32">
        <f>172739-357357.6</f>
        <v>-184618.59999999998</v>
      </c>
      <c r="C156" s="32">
        <f>128564.4-277077.4</f>
        <v>-148513.00000000003</v>
      </c>
      <c r="D156" s="32" t="s">
        <v>2</v>
      </c>
      <c r="E156" s="31">
        <f t="shared" si="29"/>
        <v>-333131.59999999998</v>
      </c>
      <c r="F156" s="32">
        <v>0</v>
      </c>
      <c r="G156" s="32">
        <f>59283+1350702.5+59204.6</f>
        <v>1469190.1</v>
      </c>
      <c r="H156" s="32"/>
      <c r="I156" s="32">
        <f>18507.3+98487+5357.5</f>
        <v>122351.8</v>
      </c>
      <c r="J156" s="32">
        <v>15326.3</v>
      </c>
      <c r="K156" s="32">
        <v>715538.4</v>
      </c>
      <c r="L156" s="33">
        <f t="shared" si="30"/>
        <v>2322406.6</v>
      </c>
      <c r="M156" s="32">
        <v>441278.2</v>
      </c>
      <c r="N156" s="31">
        <v>86594.1</v>
      </c>
      <c r="O156" s="33">
        <f t="shared" si="22"/>
        <v>1794534.3</v>
      </c>
      <c r="P156" s="38">
        <f>29576.4+101.6</f>
        <v>29678</v>
      </c>
      <c r="Q156" s="33">
        <f>1231019.2+4928.8+46930.1</f>
        <v>1282878.1000000001</v>
      </c>
      <c r="R156" s="33">
        <v>328.2</v>
      </c>
      <c r="S156" s="31">
        <f t="shared" si="28"/>
        <v>1312884.3</v>
      </c>
      <c r="T156" s="35">
        <f t="shared" si="24"/>
        <v>3107418.6</v>
      </c>
      <c r="U156" s="31">
        <f t="shared" si="25"/>
        <v>2774287</v>
      </c>
    </row>
    <row r="157" spans="1:23" s="37" customFormat="1" ht="18">
      <c r="A157" s="30" t="s">
        <v>78</v>
      </c>
      <c r="B157" s="32">
        <f>201052.3-365768.2</f>
        <v>-164715.90000000002</v>
      </c>
      <c r="C157" s="32">
        <f>131329.1-279283.7</f>
        <v>-147954.6</v>
      </c>
      <c r="D157" s="32" t="s">
        <v>2</v>
      </c>
      <c r="E157" s="31">
        <f t="shared" si="29"/>
        <v>-312670.5</v>
      </c>
      <c r="F157" s="32">
        <v>0</v>
      </c>
      <c r="G157" s="32">
        <f>53583+1382662.1+63639.5</f>
        <v>1499884.6</v>
      </c>
      <c r="H157" s="32"/>
      <c r="I157" s="32">
        <f>18507.3+97665+9362.2</f>
        <v>125534.5</v>
      </c>
      <c r="J157" s="32">
        <v>13933</v>
      </c>
      <c r="K157" s="32">
        <v>714329.3</v>
      </c>
      <c r="L157" s="33">
        <f t="shared" si="30"/>
        <v>2353681.4000000004</v>
      </c>
      <c r="M157" s="32">
        <v>490356.8</v>
      </c>
      <c r="N157" s="31">
        <v>87632.4</v>
      </c>
      <c r="O157" s="33">
        <f t="shared" si="22"/>
        <v>1775692.2000000004</v>
      </c>
      <c r="P157" s="38">
        <f>27282+101.6</f>
        <v>27383.599999999999</v>
      </c>
      <c r="Q157" s="33">
        <f>1273961.2+15428.8+50854</f>
        <v>1340244</v>
      </c>
      <c r="R157" s="33">
        <v>226.5</v>
      </c>
      <c r="S157" s="31">
        <f t="shared" si="28"/>
        <v>1367854.1</v>
      </c>
      <c r="T157" s="35">
        <f t="shared" si="24"/>
        <v>3143546.3000000007</v>
      </c>
      <c r="U157" s="31">
        <f t="shared" si="25"/>
        <v>2830875.8000000007</v>
      </c>
    </row>
    <row r="158" spans="1:23" s="37" customFormat="1" ht="18">
      <c r="A158" s="30" t="s">
        <v>79</v>
      </c>
      <c r="B158" s="32">
        <f>214065.1-367134.1</f>
        <v>-153068.99999999997</v>
      </c>
      <c r="C158" s="32">
        <f>142771.3-263229.3</f>
        <v>-120458</v>
      </c>
      <c r="D158" s="32" t="s">
        <v>2</v>
      </c>
      <c r="E158" s="31">
        <f t="shared" si="29"/>
        <v>-273527</v>
      </c>
      <c r="F158" s="32">
        <v>0</v>
      </c>
      <c r="G158" s="32">
        <f>51333+1407573.8+62122.3</f>
        <v>1521029.1</v>
      </c>
      <c r="H158" s="32"/>
      <c r="I158" s="32">
        <f>18507.3+98547.5+23833.1</f>
        <v>140887.9</v>
      </c>
      <c r="J158" s="32">
        <v>13933</v>
      </c>
      <c r="K158" s="32">
        <v>713689.4</v>
      </c>
      <c r="L158" s="33">
        <f t="shared" si="30"/>
        <v>2389539.4</v>
      </c>
      <c r="M158" s="32">
        <v>538089.6</v>
      </c>
      <c r="N158" s="31">
        <v>88159.1</v>
      </c>
      <c r="O158" s="33">
        <f t="shared" si="22"/>
        <v>1763290.6999999997</v>
      </c>
      <c r="P158" s="38">
        <f>46060.5+101.6</f>
        <v>46162.1</v>
      </c>
      <c r="Q158" s="33">
        <f>1278623.9+15428.8+49105.9</f>
        <v>1343158.5999999999</v>
      </c>
      <c r="R158" s="33">
        <v>305.60000000000002</v>
      </c>
      <c r="S158" s="31">
        <f t="shared" si="28"/>
        <v>1389626.3</v>
      </c>
      <c r="T158" s="35">
        <f t="shared" si="24"/>
        <v>3152917</v>
      </c>
      <c r="U158" s="31">
        <f t="shared" si="25"/>
        <v>2879390</v>
      </c>
    </row>
    <row r="159" spans="1:23" s="37" customFormat="1" ht="18">
      <c r="A159" s="30" t="s">
        <v>80</v>
      </c>
      <c r="B159" s="32">
        <f>201366-367286.4</f>
        <v>-165920.40000000002</v>
      </c>
      <c r="C159" s="32">
        <f>161360.7-289503.6</f>
        <v>-128142.89999999997</v>
      </c>
      <c r="D159" s="32" t="s">
        <v>2</v>
      </c>
      <c r="E159" s="31">
        <f t="shared" si="29"/>
        <v>-294063.3</v>
      </c>
      <c r="F159" s="32">
        <v>0</v>
      </c>
      <c r="G159" s="32">
        <f>55534+1425779.5+58564.4</f>
        <v>1539877.9</v>
      </c>
      <c r="H159" s="32"/>
      <c r="I159" s="32">
        <f>18507.3+25822.8+124981.5+150000</f>
        <v>319311.59999999998</v>
      </c>
      <c r="J159" s="32">
        <v>12539.7</v>
      </c>
      <c r="K159" s="32">
        <v>713120.2</v>
      </c>
      <c r="L159" s="33">
        <f t="shared" si="30"/>
        <v>2584849.4</v>
      </c>
      <c r="M159" s="32">
        <v>470551.2</v>
      </c>
      <c r="N159" s="31">
        <v>76753.3</v>
      </c>
      <c r="O159" s="33">
        <f t="shared" si="22"/>
        <v>2037544.8999999997</v>
      </c>
      <c r="P159" s="38">
        <f>30626.8+101.6</f>
        <v>30728.399999999998</v>
      </c>
      <c r="Q159" s="33">
        <f>1238589.8+17978.8+63444.5</f>
        <v>1320013.1000000001</v>
      </c>
      <c r="R159" s="33">
        <v>311</v>
      </c>
      <c r="S159" s="31">
        <f t="shared" si="28"/>
        <v>1351052.5</v>
      </c>
      <c r="T159" s="35">
        <f t="shared" si="24"/>
        <v>3388597.3999999994</v>
      </c>
      <c r="U159" s="31">
        <f t="shared" si="25"/>
        <v>3094534.0999999996</v>
      </c>
    </row>
    <row r="160" spans="1:23" s="41" customFormat="1" ht="19.5">
      <c r="A160" s="47" t="s">
        <v>45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9"/>
      <c r="W160" s="42"/>
    </row>
    <row r="161" spans="1:21" s="37" customFormat="1" ht="15.75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2"/>
    </row>
  </sheetData>
  <mergeCells count="10">
    <mergeCell ref="A160:U161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9"/>
  <sheetViews>
    <sheetView workbookViewId="0">
      <pane xSplit="1" ySplit="6" topLeftCell="S57" activePane="bottomRight" state="frozen"/>
      <selection pane="topRight" activeCell="B1" sqref="B1"/>
      <selection pane="bottomLeft" activeCell="A7" sqref="A7"/>
      <selection pane="bottomRight" activeCell="U51" sqref="U51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0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0" si="7">SUM(F28:K28)</f>
        <v>489508.3</v>
      </c>
      <c r="M28" s="34">
        <v>190482.9</v>
      </c>
      <c r="N28" s="31">
        <v>15910.9</v>
      </c>
      <c r="O28" s="33">
        <f t="shared" ref="O28:O50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0" si="9">SUM(P28:R28)</f>
        <v>758772.8</v>
      </c>
      <c r="T28" s="35">
        <f t="shared" ref="T28:T50" si="10">S28+O28</f>
        <v>1041887.3</v>
      </c>
      <c r="U28" s="31">
        <f t="shared" ref="U28:U50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5.75">
      <c r="A51" s="30">
        <v>43555</v>
      </c>
      <c r="B51" s="32">
        <v>-166782.39999999999</v>
      </c>
      <c r="C51" s="32">
        <v>-62620.70000000007</v>
      </c>
      <c r="D51" s="32" t="s">
        <v>2</v>
      </c>
      <c r="E51" s="31">
        <f t="shared" ref="E51:E53" si="12">+SUM(B51:D51)</f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66134.8</v>
      </c>
      <c r="J51" s="32">
        <v>36225.9</v>
      </c>
      <c r="K51" s="32">
        <v>518306</v>
      </c>
      <c r="L51" s="33">
        <f t="shared" ref="L51:L53" si="13">+SUM(F51:K51)</f>
        <v>1880056.4</v>
      </c>
      <c r="M51" s="32">
        <v>412450</v>
      </c>
      <c r="N51" s="31">
        <v>58269.8</v>
      </c>
      <c r="O51" s="33">
        <f t="shared" ref="O51:O57" si="14">+L51-M51-N51</f>
        <v>1409336.5999999999</v>
      </c>
      <c r="P51" s="38">
        <v>32296.6</v>
      </c>
      <c r="Q51" s="33">
        <v>1008148.3000000002</v>
      </c>
      <c r="R51" s="33">
        <v>6662.7</v>
      </c>
      <c r="S51" s="31">
        <f t="shared" ref="S51" si="15">SUM(P51:R51)</f>
        <v>1047107.6000000001</v>
      </c>
      <c r="T51" s="35">
        <f t="shared" ref="T51:T57" si="16">SUM(O51,S51)</f>
        <v>2456444.2000000002</v>
      </c>
      <c r="U51" s="31">
        <f t="shared" ref="U51:U57" si="17">SUM(E51,T51)</f>
        <v>2227041.1</v>
      </c>
    </row>
    <row r="52" spans="1:22" s="37" customFormat="1" ht="15.75">
      <c r="A52" s="30">
        <v>43646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12"/>
        <v>-194252.90000000002</v>
      </c>
      <c r="F52" s="32">
        <v>216009.2</v>
      </c>
      <c r="G52" s="32">
        <f>42174.9+1084518.3+16965</f>
        <v>1143658.2</v>
      </c>
      <c r="H52" s="32"/>
      <c r="I52" s="32">
        <v>59215</v>
      </c>
      <c r="J52" s="32">
        <v>32046</v>
      </c>
      <c r="K52" s="32">
        <v>514038.8</v>
      </c>
      <c r="L52" s="33">
        <f t="shared" si="13"/>
        <v>1964967.2</v>
      </c>
      <c r="M52" s="32">
        <v>427944.6</v>
      </c>
      <c r="N52" s="31">
        <v>62402.2</v>
      </c>
      <c r="O52" s="33">
        <f t="shared" si="14"/>
        <v>1474620.4000000001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ref="S52:S53" si="18">SUM(P52:R52)</f>
        <v>1103705.6000000001</v>
      </c>
      <c r="T52" s="35">
        <f t="shared" si="16"/>
        <v>2578326</v>
      </c>
      <c r="U52" s="31">
        <f t="shared" si="17"/>
        <v>2384073.1</v>
      </c>
    </row>
    <row r="53" spans="1:22" s="37" customFormat="1" ht="18">
      <c r="A53" s="30" t="s">
        <v>66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si="12"/>
        <v>-227582.3</v>
      </c>
      <c r="F53" s="32">
        <v>0</v>
      </c>
      <c r="G53" s="32">
        <f>52783.1+1160384.5+28225</f>
        <v>1241392.6000000001</v>
      </c>
      <c r="H53" s="32"/>
      <c r="I53" s="32">
        <v>66552.3</v>
      </c>
      <c r="J53" s="32">
        <v>29259.4</v>
      </c>
      <c r="K53" s="32">
        <v>727629.7</v>
      </c>
      <c r="L53" s="33">
        <f t="shared" si="13"/>
        <v>2064834</v>
      </c>
      <c r="M53" s="32">
        <v>478795.5</v>
      </c>
      <c r="N53" s="31">
        <v>82107.899999999994</v>
      </c>
      <c r="O53" s="33">
        <f t="shared" si="14"/>
        <v>1503930.6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si="18"/>
        <v>1179708.1000000001</v>
      </c>
      <c r="T53" s="35">
        <f t="shared" si="16"/>
        <v>2683638.7000000002</v>
      </c>
      <c r="U53" s="31">
        <f t="shared" si="17"/>
        <v>2456056.4000000004</v>
      </c>
    </row>
    <row r="54" spans="1:22" s="37" customFormat="1" ht="18">
      <c r="A54" s="30" t="s">
        <v>70</v>
      </c>
      <c r="B54" s="32">
        <v>-129390.7</v>
      </c>
      <c r="C54" s="32">
        <v>-76949.600000000006</v>
      </c>
      <c r="D54" s="32" t="s">
        <v>2</v>
      </c>
      <c r="E54" s="31">
        <f t="shared" ref="E54:E57" si="19">+SUM(B54:D54)</f>
        <v>-206340.3</v>
      </c>
      <c r="F54" s="32">
        <v>0</v>
      </c>
      <c r="G54" s="32">
        <f>57683+1228622.8+55165.1</f>
        <v>1341470.9000000001</v>
      </c>
      <c r="H54" s="32"/>
      <c r="I54" s="32">
        <v>73356.899999999994</v>
      </c>
      <c r="J54" s="32">
        <v>23686.2</v>
      </c>
      <c r="K54" s="32">
        <v>722793.2</v>
      </c>
      <c r="L54" s="33">
        <f t="shared" ref="L54:L57" si="20">+SUM(F54:K54)</f>
        <v>2161307.2000000002</v>
      </c>
      <c r="M54" s="32">
        <v>443910.5</v>
      </c>
      <c r="N54" s="31">
        <v>95938.2</v>
      </c>
      <c r="O54" s="33">
        <f t="shared" si="14"/>
        <v>1621458.5000000002</v>
      </c>
      <c r="P54" s="38">
        <f>42076.6+101.6</f>
        <v>42178.2</v>
      </c>
      <c r="Q54" s="33">
        <v>1165927.2000000002</v>
      </c>
      <c r="R54" s="33">
        <v>458.5</v>
      </c>
      <c r="S54" s="31">
        <f t="shared" ref="S54:S57" si="21">SUM(P54:R54)</f>
        <v>1208563.9000000001</v>
      </c>
      <c r="T54" s="35">
        <f t="shared" si="16"/>
        <v>2830022.4000000004</v>
      </c>
      <c r="U54" s="31">
        <f t="shared" si="17"/>
        <v>2623682.1000000006</v>
      </c>
    </row>
    <row r="55" spans="1:22" s="37" customFormat="1" ht="18">
      <c r="A55" s="30" t="s">
        <v>74</v>
      </c>
      <c r="B55" s="32">
        <f>194289.3-361308.8</f>
        <v>-167019.5</v>
      </c>
      <c r="C55" s="32">
        <f>143352.6-261170.6</f>
        <v>-117818</v>
      </c>
      <c r="D55" s="32" t="s">
        <v>2</v>
      </c>
      <c r="E55" s="31">
        <f t="shared" si="19"/>
        <v>-284837.5</v>
      </c>
      <c r="F55" s="32">
        <v>0</v>
      </c>
      <c r="G55" s="32">
        <f>51183+1270664.1+59841.5</f>
        <v>1381688.6</v>
      </c>
      <c r="H55" s="32"/>
      <c r="I55" s="32">
        <f>18507.3+103560.4</f>
        <v>122067.7</v>
      </c>
      <c r="J55" s="32">
        <v>19506.2</v>
      </c>
      <c r="K55" s="32">
        <v>719165.8</v>
      </c>
      <c r="L55" s="33">
        <f t="shared" si="20"/>
        <v>2242428.2999999998</v>
      </c>
      <c r="M55" s="32">
        <v>503862</v>
      </c>
      <c r="N55" s="31">
        <v>77027.199999999997</v>
      </c>
      <c r="O55" s="33">
        <f t="shared" si="14"/>
        <v>1661539.0999999999</v>
      </c>
      <c r="P55" s="38">
        <f>32138.3+101.6</f>
        <v>32239.899999999998</v>
      </c>
      <c r="Q55" s="33">
        <f>1159740.9+4846.3+47836</f>
        <v>1212423.2</v>
      </c>
      <c r="R55" s="33">
        <v>342.2</v>
      </c>
      <c r="S55" s="31">
        <f t="shared" si="21"/>
        <v>1245005.2999999998</v>
      </c>
      <c r="T55" s="35">
        <f t="shared" si="16"/>
        <v>2906544.3999999994</v>
      </c>
      <c r="U55" s="31">
        <f t="shared" si="17"/>
        <v>2621706.8999999994</v>
      </c>
    </row>
    <row r="56" spans="1:22" s="37" customFormat="1" ht="18">
      <c r="A56" s="30" t="s">
        <v>77</v>
      </c>
      <c r="B56" s="32">
        <f>172739-357357.6</f>
        <v>-184618.59999999998</v>
      </c>
      <c r="C56" s="32">
        <f>128564.4-277077.4</f>
        <v>-148513.00000000003</v>
      </c>
      <c r="D56" s="32" t="s">
        <v>2</v>
      </c>
      <c r="E56" s="31">
        <f t="shared" si="19"/>
        <v>-333131.59999999998</v>
      </c>
      <c r="F56" s="32">
        <v>0</v>
      </c>
      <c r="G56" s="32">
        <f>59283+1350702.5+59204.6</f>
        <v>1469190.1</v>
      </c>
      <c r="H56" s="32"/>
      <c r="I56" s="32">
        <f>18507.3+98487+5357.5</f>
        <v>122351.8</v>
      </c>
      <c r="J56" s="32">
        <v>15326.3</v>
      </c>
      <c r="K56" s="32">
        <v>715538.4</v>
      </c>
      <c r="L56" s="33">
        <f t="shared" si="20"/>
        <v>2322406.6</v>
      </c>
      <c r="M56" s="32">
        <v>441278.2</v>
      </c>
      <c r="N56" s="31">
        <v>86594.1</v>
      </c>
      <c r="O56" s="33">
        <f t="shared" si="14"/>
        <v>1794534.3</v>
      </c>
      <c r="P56" s="38">
        <f>29576.4+101.6</f>
        <v>29678</v>
      </c>
      <c r="Q56" s="33">
        <f>1231019.2+4928.8+46930.1</f>
        <v>1282878.1000000001</v>
      </c>
      <c r="R56" s="33">
        <v>328.2</v>
      </c>
      <c r="S56" s="31">
        <f t="shared" si="21"/>
        <v>1312884.3</v>
      </c>
      <c r="T56" s="35">
        <f t="shared" si="16"/>
        <v>3107418.6</v>
      </c>
      <c r="U56" s="31">
        <f t="shared" si="17"/>
        <v>2774287</v>
      </c>
    </row>
    <row r="57" spans="1:22" s="37" customFormat="1" ht="18">
      <c r="A57" s="30" t="s">
        <v>80</v>
      </c>
      <c r="B57" s="32">
        <f>201366-367286.4</f>
        <v>-165920.40000000002</v>
      </c>
      <c r="C57" s="32">
        <f>161360.7-289503.6</f>
        <v>-128142.89999999997</v>
      </c>
      <c r="D57" s="32" t="s">
        <v>2</v>
      </c>
      <c r="E57" s="31">
        <f t="shared" si="19"/>
        <v>-294063.3</v>
      </c>
      <c r="F57" s="32">
        <v>0</v>
      </c>
      <c r="G57" s="32">
        <f>55534+1425779.5+58564.4</f>
        <v>1539877.9</v>
      </c>
      <c r="H57" s="32"/>
      <c r="I57" s="32">
        <f>18507.3+25822.8+124981.5+150000</f>
        <v>319311.59999999998</v>
      </c>
      <c r="J57" s="32">
        <v>12539.7</v>
      </c>
      <c r="K57" s="32">
        <v>713120.2</v>
      </c>
      <c r="L57" s="33">
        <f t="shared" si="20"/>
        <v>2584849.4</v>
      </c>
      <c r="M57" s="32">
        <v>470551.2</v>
      </c>
      <c r="N57" s="31">
        <v>76753.3</v>
      </c>
      <c r="O57" s="33">
        <f t="shared" si="14"/>
        <v>2037544.8999999997</v>
      </c>
      <c r="P57" s="38">
        <f>30626.8+101.6</f>
        <v>30728.399999999998</v>
      </c>
      <c r="Q57" s="33">
        <f>1238589.8+17978.8+63444.5</f>
        <v>1320013.1000000001</v>
      </c>
      <c r="R57" s="33">
        <v>311</v>
      </c>
      <c r="S57" s="31">
        <f t="shared" si="21"/>
        <v>1351052.5</v>
      </c>
      <c r="T57" s="35">
        <f t="shared" si="16"/>
        <v>3388597.3999999994</v>
      </c>
      <c r="U57" s="31">
        <f t="shared" si="17"/>
        <v>3094534.0999999996</v>
      </c>
    </row>
    <row r="58" spans="1:22" s="37" customFormat="1" ht="15.75">
      <c r="A58" s="47" t="s">
        <v>45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36"/>
    </row>
    <row r="59" spans="1:22" s="37" customFormat="1" ht="15.7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8:U59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8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8">
      <c r="A18" s="39" t="s">
        <v>72</v>
      </c>
      <c r="B18" s="32">
        <v>-129390.7</v>
      </c>
      <c r="C18" s="32">
        <v>-76949.600000000006</v>
      </c>
      <c r="D18" s="32" t="s">
        <v>2</v>
      </c>
      <c r="E18" s="31">
        <f t="shared" ref="E18" si="12">+SUM(B18:D18)</f>
        <v>-206340.3</v>
      </c>
      <c r="F18" s="32">
        <v>0</v>
      </c>
      <c r="G18" s="32">
        <f>57683+1228622.8+55165.1</f>
        <v>1341470.9000000001</v>
      </c>
      <c r="H18" s="32"/>
      <c r="I18" s="32">
        <v>73356.899999999994</v>
      </c>
      <c r="J18" s="32">
        <v>23686.2</v>
      </c>
      <c r="K18" s="32">
        <v>722793.2</v>
      </c>
      <c r="L18" s="33">
        <f t="shared" ref="L18" si="13">+SUM(F18:K18)</f>
        <v>2161307.2000000002</v>
      </c>
      <c r="M18" s="32">
        <v>443910.5</v>
      </c>
      <c r="N18" s="31">
        <v>95938.2</v>
      </c>
      <c r="O18" s="33">
        <f t="shared" si="8"/>
        <v>1621458.5000000002</v>
      </c>
      <c r="P18" s="38">
        <f>42076.6+101.6</f>
        <v>42178.2</v>
      </c>
      <c r="Q18" s="33">
        <v>1165927.2000000002</v>
      </c>
      <c r="R18" s="33">
        <v>458.5</v>
      </c>
      <c r="S18" s="31">
        <f t="shared" ref="S18" si="14">SUM(P18:R18)</f>
        <v>1208563.9000000001</v>
      </c>
      <c r="T18" s="35">
        <f t="shared" ref="T18" si="15">SUM(O18,S18)</f>
        <v>2830022.4000000004</v>
      </c>
      <c r="U18" s="31">
        <f t="shared" ref="U18" si="16">SUM(E18,T18)</f>
        <v>2623682.1000000006</v>
      </c>
    </row>
    <row r="19" spans="1:22" s="37" customFormat="1" ht="15.75">
      <c r="A19" s="47" t="s">
        <v>45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36"/>
    </row>
    <row r="20" spans="1:22" s="37" customFormat="1" ht="15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9:U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2020-12-15T07:34:37Z</dcterms:modified>
</cp:coreProperties>
</file>