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/>
  </bookViews>
  <sheets>
    <sheet name="Table_de_Matière" sheetId="8" r:id="rId1"/>
    <sheet name="Mensuelle" sheetId="5" r:id="rId2"/>
    <sheet name="Trimestrielle" sheetId="6" r:id="rId3"/>
    <sheet name="Annuelle" sheetId="7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Q19" i="7" l="1"/>
  <c r="P19" i="7"/>
  <c r="S19" i="7" s="1"/>
  <c r="L19" i="7"/>
  <c r="O19" i="7" s="1"/>
  <c r="T19" i="7" s="1"/>
  <c r="U19" i="7" s="1"/>
  <c r="I19" i="7"/>
  <c r="G19" i="7"/>
  <c r="E19" i="7"/>
  <c r="C19" i="7"/>
  <c r="B19" i="7"/>
  <c r="Q58" i="6"/>
  <c r="P58" i="6"/>
  <c r="I58" i="6"/>
  <c r="G58" i="6"/>
  <c r="C58" i="6"/>
  <c r="B58" i="6"/>
  <c r="Q57" i="6"/>
  <c r="P57" i="6"/>
  <c r="I57" i="6"/>
  <c r="G57" i="6"/>
  <c r="C57" i="6"/>
  <c r="B57" i="6"/>
  <c r="Q56" i="6"/>
  <c r="P56" i="6"/>
  <c r="I56" i="6"/>
  <c r="G56" i="6"/>
  <c r="C56" i="6"/>
  <c r="B56" i="6"/>
  <c r="Q55" i="6"/>
  <c r="P55" i="6"/>
  <c r="I55" i="6"/>
  <c r="G55" i="6"/>
  <c r="C55" i="6"/>
  <c r="B55" i="6"/>
  <c r="P54" i="6"/>
  <c r="S54" i="6" s="1"/>
  <c r="G54" i="6"/>
  <c r="L54" i="6" s="1"/>
  <c r="O54" i="6" s="1"/>
  <c r="E54" i="6"/>
  <c r="Q53" i="6"/>
  <c r="P53" i="6"/>
  <c r="G53" i="6"/>
  <c r="L53" i="6" s="1"/>
  <c r="O53" i="6" s="1"/>
  <c r="C53" i="6"/>
  <c r="B53" i="6"/>
  <c r="P52" i="6"/>
  <c r="S52" i="6" s="1"/>
  <c r="G52" i="6"/>
  <c r="L52" i="6" s="1"/>
  <c r="O52" i="6" s="1"/>
  <c r="C52" i="6"/>
  <c r="B52" i="6"/>
  <c r="S51" i="6"/>
  <c r="G51" i="6"/>
  <c r="L51" i="6" s="1"/>
  <c r="O51" i="6" s="1"/>
  <c r="E51" i="6"/>
  <c r="Q162" i="5"/>
  <c r="S162" i="5" s="1"/>
  <c r="P162" i="5"/>
  <c r="I162" i="5"/>
  <c r="G162" i="5"/>
  <c r="C162" i="5"/>
  <c r="B162" i="5"/>
  <c r="Q161" i="5"/>
  <c r="P161" i="5"/>
  <c r="I161" i="5"/>
  <c r="G161" i="5"/>
  <c r="C161" i="5"/>
  <c r="B161" i="5"/>
  <c r="E161" i="5" s="1"/>
  <c r="Q160" i="5"/>
  <c r="P160" i="5"/>
  <c r="S160" i="5" s="1"/>
  <c r="I160" i="5"/>
  <c r="G160" i="5"/>
  <c r="C160" i="5"/>
  <c r="B160" i="5"/>
  <c r="E160" i="5" s="1"/>
  <c r="Q159" i="5"/>
  <c r="P159" i="5"/>
  <c r="I159" i="5"/>
  <c r="G159" i="5"/>
  <c r="L159" i="5" s="1"/>
  <c r="O159" i="5" s="1"/>
  <c r="C159" i="5"/>
  <c r="B159" i="5"/>
  <c r="Q158" i="5"/>
  <c r="P158" i="5"/>
  <c r="S158" i="5" s="1"/>
  <c r="I158" i="5"/>
  <c r="G158" i="5"/>
  <c r="C158" i="5"/>
  <c r="B158" i="5"/>
  <c r="E158" i="5" s="1"/>
  <c r="Q157" i="5"/>
  <c r="P157" i="5"/>
  <c r="I157" i="5"/>
  <c r="G157" i="5"/>
  <c r="C157" i="5"/>
  <c r="B157" i="5"/>
  <c r="E157" i="5" s="1"/>
  <c r="Q156" i="5"/>
  <c r="P156" i="5"/>
  <c r="I156" i="5"/>
  <c r="G156" i="5"/>
  <c r="C156" i="5"/>
  <c r="B156" i="5"/>
  <c r="E156" i="5" s="1"/>
  <c r="Q155" i="5"/>
  <c r="P155" i="5"/>
  <c r="I155" i="5"/>
  <c r="G155" i="5"/>
  <c r="L155" i="5" s="1"/>
  <c r="O155" i="5" s="1"/>
  <c r="C155" i="5"/>
  <c r="B155" i="5"/>
  <c r="E155" i="5" s="1"/>
  <c r="Q154" i="5"/>
  <c r="P154" i="5"/>
  <c r="S154" i="5" s="1"/>
  <c r="I154" i="5"/>
  <c r="G154" i="5"/>
  <c r="C154" i="5"/>
  <c r="E154" i="5" s="1"/>
  <c r="B154" i="5"/>
  <c r="Q153" i="5"/>
  <c r="P153" i="5"/>
  <c r="I153" i="5"/>
  <c r="G153" i="5"/>
  <c r="L153" i="5" s="1"/>
  <c r="O153" i="5" s="1"/>
  <c r="C153" i="5"/>
  <c r="B153" i="5"/>
  <c r="Q152" i="5"/>
  <c r="P152" i="5"/>
  <c r="S152" i="5" s="1"/>
  <c r="I152" i="5"/>
  <c r="G152" i="5"/>
  <c r="C152" i="5"/>
  <c r="B152" i="5"/>
  <c r="Q151" i="5"/>
  <c r="P151" i="5"/>
  <c r="I151" i="5"/>
  <c r="G151" i="5"/>
  <c r="C151" i="5"/>
  <c r="E151" i="5" s="1"/>
  <c r="P150" i="5"/>
  <c r="S150" i="5" s="1"/>
  <c r="G150" i="5"/>
  <c r="L150" i="5" s="1"/>
  <c r="O150" i="5" s="1"/>
  <c r="E150" i="5"/>
  <c r="P149" i="5"/>
  <c r="S149" i="5" s="1"/>
  <c r="G149" i="5"/>
  <c r="L149" i="5" s="1"/>
  <c r="O149" i="5" s="1"/>
  <c r="C149" i="5"/>
  <c r="E149" i="5" s="1"/>
  <c r="B149" i="5"/>
  <c r="P148" i="5"/>
  <c r="S148" i="5" s="1"/>
  <c r="G148" i="5"/>
  <c r="L148" i="5" s="1"/>
  <c r="O148" i="5" s="1"/>
  <c r="C148" i="5"/>
  <c r="B148" i="5"/>
  <c r="Q147" i="5"/>
  <c r="P147" i="5"/>
  <c r="G147" i="5"/>
  <c r="L147" i="5" s="1"/>
  <c r="O147" i="5" s="1"/>
  <c r="C147" i="5"/>
  <c r="B147" i="5"/>
  <c r="E147" i="5" s="1"/>
  <c r="P146" i="5"/>
  <c r="S146" i="5" s="1"/>
  <c r="G146" i="5"/>
  <c r="L146" i="5" s="1"/>
  <c r="O146" i="5" s="1"/>
  <c r="C146" i="5"/>
  <c r="B146" i="5"/>
  <c r="P145" i="5"/>
  <c r="S145" i="5" s="1"/>
  <c r="G145" i="5"/>
  <c r="L145" i="5" s="1"/>
  <c r="O145" i="5" s="1"/>
  <c r="C145" i="5"/>
  <c r="B145" i="5"/>
  <c r="P144" i="5"/>
  <c r="S144" i="5" s="1"/>
  <c r="G144" i="5"/>
  <c r="L144" i="5" s="1"/>
  <c r="O144" i="5" s="1"/>
  <c r="C144" i="5"/>
  <c r="B144" i="5"/>
  <c r="P143" i="5"/>
  <c r="S143" i="5" s="1"/>
  <c r="G143" i="5"/>
  <c r="L143" i="5" s="1"/>
  <c r="O143" i="5" s="1"/>
  <c r="T143" i="5" s="1"/>
  <c r="C143" i="5"/>
  <c r="B143" i="5"/>
  <c r="S142" i="5"/>
  <c r="G142" i="5"/>
  <c r="L142" i="5" s="1"/>
  <c r="O142" i="5" s="1"/>
  <c r="T142" i="5" s="1"/>
  <c r="C142" i="5"/>
  <c r="B142" i="5"/>
  <c r="S141" i="5"/>
  <c r="G141" i="5"/>
  <c r="L141" i="5" s="1"/>
  <c r="O141" i="5" s="1"/>
  <c r="T141" i="5" s="1"/>
  <c r="U141" i="5" s="1"/>
  <c r="E141" i="5"/>
  <c r="S140" i="5"/>
  <c r="L140" i="5"/>
  <c r="O140" i="5" s="1"/>
  <c r="T140" i="5" s="1"/>
  <c r="E140" i="5"/>
  <c r="S139" i="5"/>
  <c r="L139" i="5"/>
  <c r="O139" i="5" s="1"/>
  <c r="E139" i="5"/>
  <c r="E56" i="6" l="1"/>
  <c r="S58" i="6"/>
  <c r="S57" i="6"/>
  <c r="S55" i="6"/>
  <c r="E53" i="6"/>
  <c r="E57" i="6"/>
  <c r="E58" i="6"/>
  <c r="L58" i="6"/>
  <c r="O58" i="6" s="1"/>
  <c r="E55" i="6"/>
  <c r="L57" i="6"/>
  <c r="O57" i="6" s="1"/>
  <c r="E52" i="6"/>
  <c r="L56" i="6"/>
  <c r="O56" i="6" s="1"/>
  <c r="S56" i="6"/>
  <c r="T51" i="6"/>
  <c r="U51" i="6" s="1"/>
  <c r="T52" i="6"/>
  <c r="S53" i="6"/>
  <c r="T53" i="6" s="1"/>
  <c r="T54" i="6"/>
  <c r="U54" i="6" s="1"/>
  <c r="L55" i="6"/>
  <c r="O55" i="6" s="1"/>
  <c r="T55" i="6" s="1"/>
  <c r="U140" i="5"/>
  <c r="E162" i="5"/>
  <c r="L158" i="5"/>
  <c r="O158" i="5" s="1"/>
  <c r="L152" i="5"/>
  <c r="O152" i="5" s="1"/>
  <c r="L157" i="5"/>
  <c r="O157" i="5" s="1"/>
  <c r="E152" i="5"/>
  <c r="L161" i="5"/>
  <c r="O161" i="5" s="1"/>
  <c r="S156" i="5"/>
  <c r="T156" i="5" s="1"/>
  <c r="U156" i="5" s="1"/>
  <c r="T139" i="5"/>
  <c r="E142" i="5"/>
  <c r="U142" i="5" s="1"/>
  <c r="E144" i="5"/>
  <c r="S147" i="5"/>
  <c r="L151" i="5"/>
  <c r="O151" i="5" s="1"/>
  <c r="S157" i="5"/>
  <c r="E159" i="5"/>
  <c r="T151" i="5"/>
  <c r="U151" i="5" s="1"/>
  <c r="T149" i="5"/>
  <c r="L156" i="5"/>
  <c r="O156" i="5" s="1"/>
  <c r="S161" i="5"/>
  <c r="E145" i="5"/>
  <c r="E148" i="5"/>
  <c r="L154" i="5"/>
  <c r="O154" i="5" s="1"/>
  <c r="T154" i="5" s="1"/>
  <c r="U154" i="5" s="1"/>
  <c r="S159" i="5"/>
  <c r="T159" i="5" s="1"/>
  <c r="U159" i="5" s="1"/>
  <c r="T148" i="5"/>
  <c r="S155" i="5"/>
  <c r="T155" i="5" s="1"/>
  <c r="U155" i="5" s="1"/>
  <c r="S153" i="5"/>
  <c r="T153" i="5" s="1"/>
  <c r="U153" i="5" s="1"/>
  <c r="S151" i="5"/>
  <c r="L162" i="5"/>
  <c r="O162" i="5" s="1"/>
  <c r="T162" i="5" s="1"/>
  <c r="U162" i="5" s="1"/>
  <c r="U149" i="5"/>
  <c r="T145" i="5"/>
  <c r="E143" i="5"/>
  <c r="E146" i="5"/>
  <c r="E153" i="5"/>
  <c r="L160" i="5"/>
  <c r="O160" i="5" s="1"/>
  <c r="T160" i="5" s="1"/>
  <c r="U160" i="5" s="1"/>
  <c r="U148" i="5"/>
  <c r="U152" i="5"/>
  <c r="U139" i="5"/>
  <c r="T146" i="5"/>
  <c r="T150" i="5"/>
  <c r="U150" i="5" s="1"/>
  <c r="T152" i="5"/>
  <c r="T158" i="5"/>
  <c r="U158" i="5" s="1"/>
  <c r="U143" i="5"/>
  <c r="T144" i="5"/>
  <c r="U144" i="5" s="1"/>
  <c r="T147" i="5"/>
  <c r="U147" i="5" s="1"/>
  <c r="T58" i="6" l="1"/>
  <c r="U58" i="6" s="1"/>
  <c r="T57" i="6"/>
  <c r="U57" i="6" s="1"/>
  <c r="U55" i="6"/>
  <c r="U53" i="6"/>
  <c r="T56" i="6"/>
  <c r="U56" i="6" s="1"/>
  <c r="U52" i="6"/>
  <c r="T157" i="5"/>
  <c r="U157" i="5" s="1"/>
  <c r="T161" i="5"/>
  <c r="U161" i="5" s="1"/>
  <c r="U145" i="5"/>
  <c r="U146" i="5"/>
  <c r="P18" i="7" l="1"/>
  <c r="S18" i="7" s="1"/>
  <c r="G18" i="7"/>
  <c r="L18" i="7" s="1"/>
  <c r="O18" i="7" s="1"/>
  <c r="E18" i="7"/>
  <c r="T18" i="7" l="1"/>
  <c r="U18" i="7" s="1"/>
  <c r="S50" i="6" l="1"/>
  <c r="L50" i="6"/>
  <c r="O50" i="6" s="1"/>
  <c r="E50" i="6"/>
  <c r="S49" i="6"/>
  <c r="L49" i="6"/>
  <c r="O49" i="6" s="1"/>
  <c r="E49" i="6"/>
  <c r="S48" i="6"/>
  <c r="L48" i="6"/>
  <c r="O48" i="6" s="1"/>
  <c r="E48" i="6"/>
  <c r="S47" i="6"/>
  <c r="L47" i="6"/>
  <c r="O47" i="6" s="1"/>
  <c r="E47" i="6"/>
  <c r="E127" i="5"/>
  <c r="E128" i="5"/>
  <c r="E129" i="5"/>
  <c r="E130" i="5"/>
  <c r="E131" i="5"/>
  <c r="E132" i="5"/>
  <c r="E133" i="5"/>
  <c r="E134" i="5"/>
  <c r="E135" i="5"/>
  <c r="E136" i="5"/>
  <c r="E137" i="5"/>
  <c r="E138" i="5"/>
  <c r="L127" i="5"/>
  <c r="O127" i="5" s="1"/>
  <c r="L128" i="5"/>
  <c r="O128" i="5" s="1"/>
  <c r="L129" i="5"/>
  <c r="O129" i="5" s="1"/>
  <c r="L130" i="5"/>
  <c r="O130" i="5" s="1"/>
  <c r="L131" i="5"/>
  <c r="O131" i="5" s="1"/>
  <c r="L132" i="5"/>
  <c r="O132" i="5" s="1"/>
  <c r="L133" i="5"/>
  <c r="O133" i="5" s="1"/>
  <c r="L134" i="5"/>
  <c r="O134" i="5" s="1"/>
  <c r="L135" i="5"/>
  <c r="O135" i="5" s="1"/>
  <c r="L136" i="5"/>
  <c r="O136" i="5" s="1"/>
  <c r="L137" i="5"/>
  <c r="O137" i="5" s="1"/>
  <c r="L138" i="5"/>
  <c r="O138" i="5" s="1"/>
  <c r="S127" i="5"/>
  <c r="S128" i="5"/>
  <c r="S129" i="5"/>
  <c r="S130" i="5"/>
  <c r="S131" i="5"/>
  <c r="S132" i="5"/>
  <c r="S133" i="5"/>
  <c r="S134" i="5"/>
  <c r="S135" i="5"/>
  <c r="S136" i="5"/>
  <c r="S137" i="5"/>
  <c r="S138" i="5"/>
  <c r="T127" i="5" l="1"/>
  <c r="U127" i="5" s="1"/>
  <c r="T49" i="6"/>
  <c r="U49" i="6" s="1"/>
  <c r="T50" i="6"/>
  <c r="U50" i="6" s="1"/>
  <c r="T48" i="6"/>
  <c r="U48" i="6" s="1"/>
  <c r="T47" i="6"/>
  <c r="U47" i="6" s="1"/>
  <c r="T130" i="5"/>
  <c r="U130" i="5" s="1"/>
  <c r="T131" i="5"/>
  <c r="U131" i="5" s="1"/>
  <c r="T135" i="5"/>
  <c r="U135" i="5" s="1"/>
  <c r="T138" i="5"/>
  <c r="U138" i="5" s="1"/>
  <c r="T137" i="5"/>
  <c r="U137" i="5" s="1"/>
  <c r="T129" i="5"/>
  <c r="U129" i="5" s="1"/>
  <c r="T132" i="5"/>
  <c r="U132" i="5" s="1"/>
  <c r="T128" i="5"/>
  <c r="U128" i="5" s="1"/>
  <c r="T136" i="5"/>
  <c r="U136" i="5" s="1"/>
  <c r="T134" i="5"/>
  <c r="U134" i="5" s="1"/>
  <c r="T133" i="5"/>
  <c r="U133" i="5" s="1"/>
  <c r="S17" i="7" l="1"/>
  <c r="L17" i="7"/>
  <c r="O17" i="7" s="1"/>
  <c r="E17" i="7"/>
  <c r="Q16" i="7"/>
  <c r="P16" i="7"/>
  <c r="G16" i="7"/>
  <c r="L16" i="7" s="1"/>
  <c r="O16" i="7" s="1"/>
  <c r="C16" i="7"/>
  <c r="E16" i="7" s="1"/>
  <c r="S16" i="7" l="1"/>
  <c r="T16" i="7" s="1"/>
  <c r="U16" i="7" s="1"/>
  <c r="T17" i="7"/>
  <c r="U17" i="7" s="1"/>
  <c r="S46" i="6" l="1"/>
  <c r="L46" i="6"/>
  <c r="O46" i="6" s="1"/>
  <c r="E46" i="6"/>
  <c r="S126" i="5"/>
  <c r="L126" i="5"/>
  <c r="O126" i="5" s="1"/>
  <c r="E126" i="5"/>
  <c r="T46" i="6" l="1"/>
  <c r="U46" i="6" s="1"/>
  <c r="T126" i="5"/>
  <c r="U126" i="5" s="1"/>
  <c r="S15" i="7" l="1"/>
  <c r="L15" i="7"/>
  <c r="O15" i="7" s="1"/>
  <c r="E15" i="7"/>
  <c r="S14" i="7"/>
  <c r="L14" i="7"/>
  <c r="O14" i="7" s="1"/>
  <c r="E14" i="7"/>
  <c r="S13" i="7"/>
  <c r="L13" i="7"/>
  <c r="O13" i="7" s="1"/>
  <c r="E13" i="7"/>
  <c r="S12" i="7"/>
  <c r="L12" i="7"/>
  <c r="O12" i="7" s="1"/>
  <c r="E12" i="7"/>
  <c r="S11" i="7"/>
  <c r="L11" i="7"/>
  <c r="O11" i="7" s="1"/>
  <c r="E11" i="7"/>
  <c r="S10" i="7"/>
  <c r="L10" i="7"/>
  <c r="O10" i="7" s="1"/>
  <c r="E10" i="7"/>
  <c r="S9" i="7"/>
  <c r="L9" i="7"/>
  <c r="O9" i="7" s="1"/>
  <c r="E9" i="7"/>
  <c r="S8" i="7"/>
  <c r="L8" i="7"/>
  <c r="O8" i="7" s="1"/>
  <c r="E8" i="7"/>
  <c r="S7" i="7"/>
  <c r="L7" i="7"/>
  <c r="O7" i="7" s="1"/>
  <c r="E7" i="7"/>
  <c r="S45" i="6"/>
  <c r="L45" i="6"/>
  <c r="O45" i="6" s="1"/>
  <c r="E45" i="6"/>
  <c r="S44" i="6"/>
  <c r="L44" i="6"/>
  <c r="O44" i="6" s="1"/>
  <c r="E44" i="6"/>
  <c r="S43" i="6"/>
  <c r="L43" i="6"/>
  <c r="O43" i="6" s="1"/>
  <c r="E43" i="6"/>
  <c r="S42" i="6"/>
  <c r="L42" i="6"/>
  <c r="O42" i="6" s="1"/>
  <c r="E42" i="6"/>
  <c r="S41" i="6"/>
  <c r="L41" i="6"/>
  <c r="O41" i="6" s="1"/>
  <c r="E41" i="6"/>
  <c r="S40" i="6"/>
  <c r="L40" i="6"/>
  <c r="O40" i="6" s="1"/>
  <c r="E40" i="6"/>
  <c r="S39" i="6"/>
  <c r="L39" i="6"/>
  <c r="O39" i="6" s="1"/>
  <c r="E39" i="6"/>
  <c r="S38" i="6"/>
  <c r="L38" i="6"/>
  <c r="O38" i="6" s="1"/>
  <c r="E38" i="6"/>
  <c r="S37" i="6"/>
  <c r="L37" i="6"/>
  <c r="O37" i="6" s="1"/>
  <c r="E37" i="6"/>
  <c r="S36" i="6"/>
  <c r="L36" i="6"/>
  <c r="O36" i="6" s="1"/>
  <c r="E36" i="6"/>
  <c r="S35" i="6"/>
  <c r="L35" i="6"/>
  <c r="O35" i="6" s="1"/>
  <c r="E35" i="6"/>
  <c r="S34" i="6"/>
  <c r="L34" i="6"/>
  <c r="O34" i="6" s="1"/>
  <c r="E34" i="6"/>
  <c r="S33" i="6"/>
  <c r="L33" i="6"/>
  <c r="O33" i="6" s="1"/>
  <c r="E33" i="6"/>
  <c r="S32" i="6"/>
  <c r="L32" i="6"/>
  <c r="O32" i="6" s="1"/>
  <c r="E32" i="6"/>
  <c r="S31" i="6"/>
  <c r="L31" i="6"/>
  <c r="O31" i="6" s="1"/>
  <c r="E31" i="6"/>
  <c r="S30" i="6"/>
  <c r="L30" i="6"/>
  <c r="O30" i="6" s="1"/>
  <c r="E30" i="6"/>
  <c r="S29" i="6"/>
  <c r="L29" i="6"/>
  <c r="O29" i="6" s="1"/>
  <c r="E29" i="6"/>
  <c r="S28" i="6"/>
  <c r="L28" i="6"/>
  <c r="O28" i="6" s="1"/>
  <c r="E28" i="6"/>
  <c r="S27" i="6"/>
  <c r="L27" i="6"/>
  <c r="O27" i="6" s="1"/>
  <c r="E27" i="6"/>
  <c r="S26" i="6"/>
  <c r="L26" i="6"/>
  <c r="O26" i="6" s="1"/>
  <c r="E26" i="6"/>
  <c r="S25" i="6"/>
  <c r="L25" i="6"/>
  <c r="O25" i="6" s="1"/>
  <c r="E25" i="6"/>
  <c r="S24" i="6"/>
  <c r="L24" i="6"/>
  <c r="O24" i="6" s="1"/>
  <c r="E24" i="6"/>
  <c r="S23" i="6"/>
  <c r="L23" i="6"/>
  <c r="O23" i="6" s="1"/>
  <c r="E23" i="6"/>
  <c r="S22" i="6"/>
  <c r="L22" i="6"/>
  <c r="O22" i="6" s="1"/>
  <c r="E22" i="6"/>
  <c r="S21" i="6"/>
  <c r="L21" i="6"/>
  <c r="O21" i="6" s="1"/>
  <c r="E21" i="6"/>
  <c r="S20" i="6"/>
  <c r="L20" i="6"/>
  <c r="O20" i="6" s="1"/>
  <c r="E20" i="6"/>
  <c r="S19" i="6"/>
  <c r="L19" i="6"/>
  <c r="O19" i="6" s="1"/>
  <c r="E19" i="6"/>
  <c r="S18" i="6"/>
  <c r="L18" i="6"/>
  <c r="O18" i="6" s="1"/>
  <c r="E18" i="6"/>
  <c r="S17" i="6"/>
  <c r="L17" i="6"/>
  <c r="O17" i="6" s="1"/>
  <c r="E17" i="6"/>
  <c r="S16" i="6"/>
  <c r="L16" i="6"/>
  <c r="O16" i="6" s="1"/>
  <c r="E16" i="6"/>
  <c r="S15" i="6"/>
  <c r="L15" i="6"/>
  <c r="O15" i="6" s="1"/>
  <c r="E15" i="6"/>
  <c r="S14" i="6"/>
  <c r="L14" i="6"/>
  <c r="O14" i="6" s="1"/>
  <c r="E14" i="6"/>
  <c r="S13" i="6"/>
  <c r="L13" i="6"/>
  <c r="O13" i="6" s="1"/>
  <c r="E13" i="6"/>
  <c r="S12" i="6"/>
  <c r="L12" i="6"/>
  <c r="O12" i="6" s="1"/>
  <c r="E12" i="6"/>
  <c r="S11" i="6"/>
  <c r="L11" i="6"/>
  <c r="O11" i="6" s="1"/>
  <c r="E11" i="6"/>
  <c r="S10" i="6"/>
  <c r="L10" i="6"/>
  <c r="O10" i="6" s="1"/>
  <c r="E10" i="6"/>
  <c r="S9" i="6"/>
  <c r="L9" i="6"/>
  <c r="O9" i="6" s="1"/>
  <c r="E9" i="6"/>
  <c r="S8" i="6"/>
  <c r="L8" i="6"/>
  <c r="O8" i="6" s="1"/>
  <c r="E8" i="6"/>
  <c r="S7" i="6"/>
  <c r="L7" i="6"/>
  <c r="O7" i="6" s="1"/>
  <c r="E7" i="6"/>
  <c r="T14" i="7" l="1"/>
  <c r="U14" i="7" s="1"/>
  <c r="T10" i="7"/>
  <c r="U10" i="7" s="1"/>
  <c r="T8" i="7"/>
  <c r="U8" i="7" s="1"/>
  <c r="T12" i="7"/>
  <c r="U12" i="7" s="1"/>
  <c r="T7" i="7"/>
  <c r="U7" i="7" s="1"/>
  <c r="T11" i="7"/>
  <c r="U11" i="7" s="1"/>
  <c r="T15" i="7"/>
  <c r="U15" i="7" s="1"/>
  <c r="T9" i="7"/>
  <c r="U9" i="7" s="1"/>
  <c r="T13" i="7"/>
  <c r="U13" i="7" s="1"/>
  <c r="T33" i="6"/>
  <c r="U33" i="6" s="1"/>
  <c r="T20" i="6"/>
  <c r="U20" i="6" s="1"/>
  <c r="T29" i="6"/>
  <c r="U29" i="6" s="1"/>
  <c r="T22" i="6"/>
  <c r="U22" i="6" s="1"/>
  <c r="T30" i="6"/>
  <c r="U30" i="6" s="1"/>
  <c r="T34" i="6"/>
  <c r="U34" i="6" s="1"/>
  <c r="T40" i="6"/>
  <c r="U40" i="6" s="1"/>
  <c r="T14" i="6"/>
  <c r="U14" i="6" s="1"/>
  <c r="T24" i="6"/>
  <c r="U24" i="6" s="1"/>
  <c r="T15" i="6"/>
  <c r="U15" i="6" s="1"/>
  <c r="T10" i="6"/>
  <c r="U10" i="6" s="1"/>
  <c r="T23" i="6"/>
  <c r="U23" i="6" s="1"/>
  <c r="T42" i="6"/>
  <c r="U42" i="6" s="1"/>
  <c r="T27" i="6"/>
  <c r="U27" i="6" s="1"/>
  <c r="T19" i="6"/>
  <c r="U19" i="6" s="1"/>
  <c r="T38" i="6"/>
  <c r="U38" i="6" s="1"/>
  <c r="T45" i="6"/>
  <c r="U45" i="6" s="1"/>
  <c r="T11" i="6"/>
  <c r="U11" i="6" s="1"/>
  <c r="T43" i="6"/>
  <c r="U43" i="6" s="1"/>
  <c r="T7" i="6"/>
  <c r="U7" i="6" s="1"/>
  <c r="T12" i="6"/>
  <c r="U12" i="6" s="1"/>
  <c r="T21" i="6"/>
  <c r="U21" i="6" s="1"/>
  <c r="T26" i="6"/>
  <c r="U26" i="6" s="1"/>
  <c r="T39" i="6"/>
  <c r="U39" i="6" s="1"/>
  <c r="T35" i="6"/>
  <c r="U35" i="6" s="1"/>
  <c r="T18" i="6"/>
  <c r="U18" i="6" s="1"/>
  <c r="T31" i="6"/>
  <c r="U31" i="6" s="1"/>
  <c r="T8" i="6"/>
  <c r="U8" i="6" s="1"/>
  <c r="T13" i="6"/>
  <c r="U13" i="6" s="1"/>
  <c r="T9" i="6"/>
  <c r="U9" i="6" s="1"/>
  <c r="T32" i="6"/>
  <c r="U32" i="6" s="1"/>
  <c r="T41" i="6"/>
  <c r="U41" i="6" s="1"/>
  <c r="T36" i="6"/>
  <c r="U36" i="6" s="1"/>
  <c r="T28" i="6"/>
  <c r="U28" i="6" s="1"/>
  <c r="T37" i="6"/>
  <c r="U37" i="6" s="1"/>
  <c r="T17" i="6"/>
  <c r="U17" i="6" s="1"/>
  <c r="T16" i="6"/>
  <c r="U16" i="6" s="1"/>
  <c r="T25" i="6"/>
  <c r="U25" i="6" s="1"/>
  <c r="T44" i="6"/>
  <c r="U44" i="6" s="1"/>
  <c r="E125" i="5" l="1"/>
  <c r="L121" i="5"/>
  <c r="O121" i="5" s="1"/>
  <c r="L122" i="5"/>
  <c r="L123" i="5"/>
  <c r="O123" i="5" s="1"/>
  <c r="L124" i="5"/>
  <c r="O124" i="5" s="1"/>
  <c r="L125" i="5"/>
  <c r="O125" i="5" s="1"/>
  <c r="O122" i="5"/>
  <c r="S122" i="5"/>
  <c r="S123" i="5"/>
  <c r="S124" i="5"/>
  <c r="S125" i="5"/>
  <c r="T122" i="5" l="1"/>
  <c r="T125" i="5"/>
  <c r="T124" i="5"/>
  <c r="T123" i="5"/>
  <c r="E8" i="5" l="1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7" i="5"/>
  <c r="L100" i="5" l="1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S115" i="5" l="1"/>
  <c r="S116" i="5"/>
  <c r="S117" i="5"/>
  <c r="S118" i="5"/>
  <c r="S119" i="5"/>
  <c r="S120" i="5"/>
  <c r="S121" i="5"/>
  <c r="S106" i="5"/>
  <c r="S107" i="5"/>
  <c r="S108" i="5"/>
  <c r="S109" i="5"/>
  <c r="S110" i="5"/>
  <c r="S111" i="5"/>
  <c r="S112" i="5"/>
  <c r="S113" i="5"/>
  <c r="S114" i="5"/>
  <c r="O106" i="5"/>
  <c r="O107" i="5"/>
  <c r="O108" i="5"/>
  <c r="O109" i="5"/>
  <c r="O110" i="5"/>
  <c r="O111" i="5"/>
  <c r="O112" i="5"/>
  <c r="O113" i="5"/>
  <c r="O114" i="5"/>
  <c r="O103" i="5"/>
  <c r="O104" i="5"/>
  <c r="O105" i="5"/>
  <c r="L56" i="5"/>
  <c r="L57" i="5"/>
  <c r="L58" i="5"/>
  <c r="L59" i="5"/>
  <c r="L60" i="5"/>
  <c r="L61" i="5"/>
  <c r="L62" i="5"/>
  <c r="L63" i="5"/>
  <c r="L64" i="5"/>
  <c r="L65" i="5"/>
  <c r="L66" i="5"/>
  <c r="O66" i="5" s="1"/>
  <c r="L67" i="5"/>
  <c r="O67" i="5" s="1"/>
  <c r="L68" i="5"/>
  <c r="O68" i="5" s="1"/>
  <c r="L69" i="5"/>
  <c r="O69" i="5" s="1"/>
  <c r="L70" i="5"/>
  <c r="O70" i="5" s="1"/>
  <c r="L71" i="5"/>
  <c r="O71" i="5" s="1"/>
  <c r="L72" i="5"/>
  <c r="O72" i="5" s="1"/>
  <c r="L73" i="5"/>
  <c r="O73" i="5" s="1"/>
  <c r="L74" i="5"/>
  <c r="O74" i="5" s="1"/>
  <c r="L75" i="5"/>
  <c r="O75" i="5" s="1"/>
  <c r="L76" i="5"/>
  <c r="O76" i="5" s="1"/>
  <c r="L77" i="5"/>
  <c r="O77" i="5" s="1"/>
  <c r="L78" i="5"/>
  <c r="O78" i="5" s="1"/>
  <c r="L79" i="5"/>
  <c r="O79" i="5" s="1"/>
  <c r="L80" i="5"/>
  <c r="O80" i="5" s="1"/>
  <c r="L81" i="5"/>
  <c r="O81" i="5" s="1"/>
  <c r="L82" i="5"/>
  <c r="O82" i="5" s="1"/>
  <c r="L83" i="5"/>
  <c r="O83" i="5" s="1"/>
  <c r="L84" i="5"/>
  <c r="O84" i="5" s="1"/>
  <c r="L85" i="5"/>
  <c r="O85" i="5" s="1"/>
  <c r="L86" i="5"/>
  <c r="O86" i="5" s="1"/>
  <c r="L87" i="5"/>
  <c r="O87" i="5" s="1"/>
  <c r="L88" i="5"/>
  <c r="O88" i="5" s="1"/>
  <c r="L89" i="5"/>
  <c r="O89" i="5" s="1"/>
  <c r="L90" i="5"/>
  <c r="O90" i="5" s="1"/>
  <c r="L91" i="5"/>
  <c r="O91" i="5" s="1"/>
  <c r="L92" i="5"/>
  <c r="O92" i="5" s="1"/>
  <c r="L93" i="5"/>
  <c r="O93" i="5" s="1"/>
  <c r="L94" i="5"/>
  <c r="O94" i="5" s="1"/>
  <c r="L95" i="5"/>
  <c r="O95" i="5" s="1"/>
  <c r="L96" i="5"/>
  <c r="O96" i="5" s="1"/>
  <c r="L97" i="5"/>
  <c r="O97" i="5" s="1"/>
  <c r="L98" i="5"/>
  <c r="O98" i="5" s="1"/>
  <c r="L99" i="5"/>
  <c r="O99" i="5" s="1"/>
  <c r="O100" i="5"/>
  <c r="O102" i="5"/>
  <c r="O115" i="5"/>
  <c r="O116" i="5"/>
  <c r="O117" i="5"/>
  <c r="T117" i="5" s="1"/>
  <c r="O118" i="5"/>
  <c r="O119" i="5"/>
  <c r="O120" i="5"/>
  <c r="U124" i="5"/>
  <c r="U125" i="5"/>
  <c r="O101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T119" i="5" l="1"/>
  <c r="U119" i="5" s="1"/>
  <c r="T116" i="5"/>
  <c r="U116" i="5" s="1"/>
  <c r="T68" i="5"/>
  <c r="T79" i="5"/>
  <c r="T67" i="5"/>
  <c r="T74" i="5"/>
  <c r="T69" i="5"/>
  <c r="T77" i="5"/>
  <c r="T78" i="5"/>
  <c r="T70" i="5"/>
  <c r="U117" i="5"/>
  <c r="U123" i="5"/>
  <c r="T115" i="5"/>
  <c r="U115" i="5" s="1"/>
  <c r="U122" i="5"/>
  <c r="T118" i="5"/>
  <c r="U118" i="5" s="1"/>
  <c r="T121" i="5"/>
  <c r="U121" i="5" s="1"/>
  <c r="T120" i="5"/>
  <c r="U120" i="5" s="1"/>
  <c r="T80" i="5"/>
  <c r="T76" i="5"/>
  <c r="T75" i="5"/>
  <c r="T73" i="5"/>
  <c r="T71" i="5"/>
  <c r="T72" i="5"/>
  <c r="S105" i="5" l="1"/>
  <c r="S104" i="5"/>
  <c r="S103" i="5"/>
  <c r="S102" i="5"/>
  <c r="S101" i="5"/>
  <c r="S100" i="5"/>
  <c r="T100" i="5" s="1"/>
  <c r="S99" i="5"/>
  <c r="S98" i="5"/>
  <c r="S97" i="5"/>
  <c r="S96" i="5"/>
  <c r="S95" i="5"/>
  <c r="S94" i="5"/>
  <c r="S93" i="5"/>
  <c r="S92" i="5"/>
  <c r="T92" i="5" s="1"/>
  <c r="S91" i="5"/>
  <c r="T91" i="5" s="1"/>
  <c r="U91" i="5" s="1"/>
  <c r="S90" i="5"/>
  <c r="S89" i="5"/>
  <c r="T89" i="5" s="1"/>
  <c r="S88" i="5"/>
  <c r="T88" i="5" s="1"/>
  <c r="U88" i="5" s="1"/>
  <c r="S87" i="5"/>
  <c r="S86" i="5"/>
  <c r="T86" i="5" s="1"/>
  <c r="U86" i="5" s="1"/>
  <c r="S85" i="5"/>
  <c r="T85" i="5" s="1"/>
  <c r="U85" i="5" s="1"/>
  <c r="S84" i="5"/>
  <c r="S83" i="5"/>
  <c r="T83" i="5" s="1"/>
  <c r="S82" i="5"/>
  <c r="T82" i="5" s="1"/>
  <c r="U82" i="5" s="1"/>
  <c r="S81" i="5"/>
  <c r="T81" i="5" s="1"/>
  <c r="U81" i="5" s="1"/>
  <c r="U80" i="5"/>
  <c r="U79" i="5"/>
  <c r="S66" i="5"/>
  <c r="S65" i="5"/>
  <c r="O65" i="5"/>
  <c r="S64" i="5"/>
  <c r="O64" i="5"/>
  <c r="S63" i="5"/>
  <c r="S62" i="5"/>
  <c r="O62" i="5"/>
  <c r="S61" i="5"/>
  <c r="O61" i="5"/>
  <c r="S60" i="5"/>
  <c r="S59" i="5"/>
  <c r="O59" i="5"/>
  <c r="S58" i="5"/>
  <c r="O58" i="5"/>
  <c r="S57" i="5"/>
  <c r="S56" i="5"/>
  <c r="O56" i="5"/>
  <c r="S55" i="5"/>
  <c r="L55" i="5"/>
  <c r="O55" i="5" s="1"/>
  <c r="S54" i="5"/>
  <c r="L54" i="5"/>
  <c r="S53" i="5"/>
  <c r="L53" i="5"/>
  <c r="O53" i="5" s="1"/>
  <c r="S52" i="5"/>
  <c r="L52" i="5"/>
  <c r="O52" i="5" s="1"/>
  <c r="S51" i="5"/>
  <c r="L51" i="5"/>
  <c r="S50" i="5"/>
  <c r="L50" i="5"/>
  <c r="O50" i="5" s="1"/>
  <c r="S49" i="5"/>
  <c r="L49" i="5"/>
  <c r="O49" i="5" s="1"/>
  <c r="S48" i="5"/>
  <c r="L48" i="5"/>
  <c r="S47" i="5"/>
  <c r="L47" i="5"/>
  <c r="O47" i="5" s="1"/>
  <c r="S46" i="5"/>
  <c r="L46" i="5"/>
  <c r="O46" i="5" s="1"/>
  <c r="S45" i="5"/>
  <c r="L45" i="5"/>
  <c r="S44" i="5"/>
  <c r="L44" i="5"/>
  <c r="O44" i="5" s="1"/>
  <c r="S43" i="5"/>
  <c r="L43" i="5"/>
  <c r="O43" i="5" s="1"/>
  <c r="S42" i="5"/>
  <c r="L42" i="5"/>
  <c r="S41" i="5"/>
  <c r="L41" i="5"/>
  <c r="O41" i="5" s="1"/>
  <c r="S40" i="5"/>
  <c r="L40" i="5"/>
  <c r="O40" i="5" s="1"/>
  <c r="S39" i="5"/>
  <c r="L39" i="5"/>
  <c r="S38" i="5"/>
  <c r="L38" i="5"/>
  <c r="O38" i="5" s="1"/>
  <c r="S37" i="5"/>
  <c r="L37" i="5"/>
  <c r="O37" i="5" s="1"/>
  <c r="S36" i="5"/>
  <c r="L36" i="5"/>
  <c r="S35" i="5"/>
  <c r="L35" i="5"/>
  <c r="O35" i="5" s="1"/>
  <c r="S34" i="5"/>
  <c r="L34" i="5"/>
  <c r="O34" i="5" s="1"/>
  <c r="S33" i="5"/>
  <c r="L33" i="5"/>
  <c r="S32" i="5"/>
  <c r="L32" i="5"/>
  <c r="O32" i="5" s="1"/>
  <c r="S31" i="5"/>
  <c r="L31" i="5"/>
  <c r="O31" i="5" s="1"/>
  <c r="S30" i="5"/>
  <c r="L30" i="5"/>
  <c r="S29" i="5"/>
  <c r="L29" i="5"/>
  <c r="O29" i="5" s="1"/>
  <c r="S28" i="5"/>
  <c r="L28" i="5"/>
  <c r="O28" i="5" s="1"/>
  <c r="S27" i="5"/>
  <c r="L27" i="5"/>
  <c r="S26" i="5"/>
  <c r="L26" i="5"/>
  <c r="O26" i="5" s="1"/>
  <c r="S25" i="5"/>
  <c r="L25" i="5"/>
  <c r="O25" i="5" s="1"/>
  <c r="S24" i="5"/>
  <c r="L24" i="5"/>
  <c r="S23" i="5"/>
  <c r="L23" i="5"/>
  <c r="O23" i="5" s="1"/>
  <c r="S22" i="5"/>
  <c r="L22" i="5"/>
  <c r="O22" i="5" s="1"/>
  <c r="S21" i="5"/>
  <c r="L21" i="5"/>
  <c r="S20" i="5"/>
  <c r="L20" i="5"/>
  <c r="O20" i="5" s="1"/>
  <c r="S19" i="5"/>
  <c r="L19" i="5"/>
  <c r="O19" i="5" s="1"/>
  <c r="S18" i="5"/>
  <c r="L18" i="5"/>
  <c r="S17" i="5"/>
  <c r="L17" i="5"/>
  <c r="O17" i="5" s="1"/>
  <c r="S16" i="5"/>
  <c r="L16" i="5"/>
  <c r="O16" i="5" s="1"/>
  <c r="S15" i="5"/>
  <c r="L15" i="5"/>
  <c r="S14" i="5"/>
  <c r="L14" i="5"/>
  <c r="O14" i="5" s="1"/>
  <c r="S13" i="5"/>
  <c r="L13" i="5"/>
  <c r="O13" i="5" s="1"/>
  <c r="S12" i="5"/>
  <c r="L12" i="5"/>
  <c r="S11" i="5"/>
  <c r="L11" i="5"/>
  <c r="O11" i="5" s="1"/>
  <c r="S10" i="5"/>
  <c r="L10" i="5"/>
  <c r="O10" i="5" s="1"/>
  <c r="S9" i="5"/>
  <c r="L9" i="5"/>
  <c r="S8" i="5"/>
  <c r="L8" i="5"/>
  <c r="O8" i="5" s="1"/>
  <c r="S7" i="5"/>
  <c r="L7" i="5"/>
  <c r="O7" i="5" s="1"/>
  <c r="U89" i="5" l="1"/>
  <c r="T90" i="5"/>
  <c r="U90" i="5" s="1"/>
  <c r="T84" i="5"/>
  <c r="U84" i="5" s="1"/>
  <c r="U83" i="5"/>
  <c r="U92" i="5"/>
  <c r="T93" i="5"/>
  <c r="U93" i="5" s="1"/>
  <c r="T87" i="5"/>
  <c r="U87" i="5" s="1"/>
  <c r="O57" i="5"/>
  <c r="O12" i="5"/>
  <c r="O24" i="5"/>
  <c r="O48" i="5"/>
  <c r="O27" i="5"/>
  <c r="O51" i="5"/>
  <c r="O30" i="5"/>
  <c r="T30" i="5" s="1"/>
  <c r="O54" i="5"/>
  <c r="O9" i="5"/>
  <c r="O36" i="5"/>
  <c r="T36" i="5" s="1"/>
  <c r="O15" i="5"/>
  <c r="O39" i="5"/>
  <c r="T39" i="5" s="1"/>
  <c r="O63" i="5"/>
  <c r="O33" i="5"/>
  <c r="T33" i="5" s="1"/>
  <c r="O60" i="5"/>
  <c r="O42" i="5"/>
  <c r="O18" i="5"/>
  <c r="O21" i="5"/>
  <c r="O45" i="5"/>
  <c r="T109" i="5"/>
  <c r="U109" i="5" s="1"/>
  <c r="T46" i="5"/>
  <c r="U46" i="5" s="1"/>
  <c r="T7" i="5"/>
  <c r="U7" i="5" s="1"/>
  <c r="T24" i="5"/>
  <c r="T65" i="5"/>
  <c r="U65" i="5" s="1"/>
  <c r="T19" i="5"/>
  <c r="U19" i="5" s="1"/>
  <c r="T22" i="5"/>
  <c r="U22" i="5" s="1"/>
  <c r="T8" i="5"/>
  <c r="U8" i="5" s="1"/>
  <c r="T35" i="5"/>
  <c r="U35" i="5" s="1"/>
  <c r="T59" i="5"/>
  <c r="U59" i="5" s="1"/>
  <c r="T102" i="5"/>
  <c r="T37" i="5"/>
  <c r="U37" i="5" s="1"/>
  <c r="T49" i="5"/>
  <c r="U49" i="5" s="1"/>
  <c r="T26" i="5"/>
  <c r="U26" i="5" s="1"/>
  <c r="T104" i="5"/>
  <c r="U104" i="5" s="1"/>
  <c r="T98" i="5"/>
  <c r="U98" i="5" s="1"/>
  <c r="T28" i="5"/>
  <c r="U28" i="5" s="1"/>
  <c r="T106" i="5"/>
  <c r="U106" i="5" s="1"/>
  <c r="T16" i="5"/>
  <c r="U16" i="5" s="1"/>
  <c r="T56" i="5"/>
  <c r="U56" i="5" s="1"/>
  <c r="T94" i="5"/>
  <c r="U94" i="5" s="1"/>
  <c r="T11" i="5"/>
  <c r="U11" i="5" s="1"/>
  <c r="T44" i="5"/>
  <c r="U44" i="5" s="1"/>
  <c r="T55" i="5"/>
  <c r="U55" i="5" s="1"/>
  <c r="U77" i="5"/>
  <c r="T95" i="5"/>
  <c r="U95" i="5" s="1"/>
  <c r="T27" i="5"/>
  <c r="T38" i="5"/>
  <c r="U38" i="5" s="1"/>
  <c r="T113" i="5"/>
  <c r="U113" i="5" s="1"/>
  <c r="T34" i="5"/>
  <c r="U34" i="5" s="1"/>
  <c r="T64" i="5"/>
  <c r="U64" i="5" s="1"/>
  <c r="T53" i="5"/>
  <c r="U53" i="5" s="1"/>
  <c r="T112" i="5"/>
  <c r="U112" i="5" s="1"/>
  <c r="T23" i="5"/>
  <c r="U23" i="5" s="1"/>
  <c r="T41" i="5"/>
  <c r="U41" i="5" s="1"/>
  <c r="T52" i="5"/>
  <c r="U52" i="5" s="1"/>
  <c r="T47" i="5"/>
  <c r="U47" i="5" s="1"/>
  <c r="T14" i="5"/>
  <c r="U14" i="5" s="1"/>
  <c r="T21" i="5"/>
  <c r="T10" i="5"/>
  <c r="U10" i="5" s="1"/>
  <c r="T25" i="5"/>
  <c r="U25" i="5" s="1"/>
  <c r="T103" i="5"/>
  <c r="U103" i="5" s="1"/>
  <c r="T29" i="5"/>
  <c r="U29" i="5" s="1"/>
  <c r="T58" i="5"/>
  <c r="U58" i="5" s="1"/>
  <c r="T101" i="5"/>
  <c r="U101" i="5" s="1"/>
  <c r="T107" i="5"/>
  <c r="U107" i="5" s="1"/>
  <c r="T97" i="5"/>
  <c r="U97" i="5" s="1"/>
  <c r="T20" i="5"/>
  <c r="U20" i="5" s="1"/>
  <c r="T32" i="5"/>
  <c r="U32" i="5" s="1"/>
  <c r="T50" i="5"/>
  <c r="U50" i="5" s="1"/>
  <c r="T62" i="5"/>
  <c r="U62" i="5" s="1"/>
  <c r="T40" i="5"/>
  <c r="U40" i="5" s="1"/>
  <c r="U100" i="5"/>
  <c r="T31" i="5"/>
  <c r="U31" i="5" s="1"/>
  <c r="T43" i="5"/>
  <c r="U43" i="5" s="1"/>
  <c r="T61" i="5"/>
  <c r="U61" i="5" s="1"/>
  <c r="T110" i="5"/>
  <c r="U110" i="5" s="1"/>
  <c r="U73" i="5"/>
  <c r="U71" i="5"/>
  <c r="U74" i="5"/>
  <c r="T17" i="5"/>
  <c r="U17" i="5" s="1"/>
  <c r="U67" i="5"/>
  <c r="T13" i="5"/>
  <c r="U13" i="5" s="1"/>
  <c r="U70" i="5"/>
  <c r="U68" i="5"/>
  <c r="U76" i="5"/>
  <c r="T18" i="5" l="1"/>
  <c r="U18" i="5" s="1"/>
  <c r="T63" i="5"/>
  <c r="T48" i="5"/>
  <c r="U48" i="5" s="1"/>
  <c r="T114" i="5"/>
  <c r="U114" i="5" s="1"/>
  <c r="T54" i="5"/>
  <c r="U54" i="5" s="1"/>
  <c r="T42" i="5"/>
  <c r="U42" i="5" s="1"/>
  <c r="U75" i="5"/>
  <c r="T96" i="5"/>
  <c r="T57" i="5"/>
  <c r="U57" i="5" s="1"/>
  <c r="T105" i="5"/>
  <c r="U39" i="5"/>
  <c r="U27" i="5"/>
  <c r="T111" i="5"/>
  <c r="T99" i="5"/>
  <c r="T9" i="5"/>
  <c r="T51" i="5"/>
  <c r="U30" i="5"/>
  <c r="T108" i="5"/>
  <c r="U72" i="5"/>
  <c r="U63" i="5"/>
  <c r="T66" i="5"/>
  <c r="U36" i="5"/>
  <c r="T45" i="5"/>
  <c r="T15" i="5"/>
  <c r="U33" i="5"/>
  <c r="U21" i="5"/>
  <c r="U24" i="5"/>
  <c r="U102" i="5"/>
  <c r="T12" i="5"/>
  <c r="T60" i="5"/>
  <c r="U96" i="5" l="1"/>
  <c r="U78" i="5"/>
  <c r="U105" i="5"/>
  <c r="U66" i="5"/>
  <c r="U12" i="5"/>
  <c r="U15" i="5"/>
  <c r="U9" i="5"/>
  <c r="U45" i="5"/>
  <c r="U99" i="5"/>
  <c r="U60" i="5"/>
  <c r="U111" i="5"/>
  <c r="U69" i="5"/>
  <c r="U108" i="5"/>
  <c r="U51" i="5"/>
</calcChain>
</file>

<file path=xl/sharedStrings.xml><?xml version="1.0" encoding="utf-8"?>
<sst xmlns="http://schemas.openxmlformats.org/spreadsheetml/2006/main" count="406" uniqueCount="86">
  <si>
    <t>Total</t>
  </si>
  <si>
    <t>Avances</t>
  </si>
  <si>
    <t>-</t>
  </si>
  <si>
    <t xml:space="preserve">     AVOIRS EXTERIEURS NETS</t>
  </si>
  <si>
    <t>CREDIT INTERIEUR</t>
  </si>
  <si>
    <t>Avoirs extérieurs nets</t>
  </si>
  <si>
    <t>Créances nettes sur l'Etat</t>
  </si>
  <si>
    <t>Créances sur l'économie</t>
  </si>
  <si>
    <t>Crédit intérieur</t>
  </si>
  <si>
    <t>total actif</t>
  </si>
  <si>
    <t xml:space="preserve"> Bons et   obligations du Trésor</t>
  </si>
  <si>
    <t>Certificats du trésor</t>
  </si>
  <si>
    <t xml:space="preserve">  Autres Créances</t>
  </si>
  <si>
    <t xml:space="preserve">  Crédit  spécial</t>
  </si>
  <si>
    <t>Créances Rééchelonnées</t>
  </si>
  <si>
    <t>Total des créances</t>
  </si>
  <si>
    <t xml:space="preserve">  Créances    sur le    secteur    privé</t>
  </si>
  <si>
    <t xml:space="preserve">  Banques commerciales </t>
  </si>
  <si>
    <t>brb</t>
  </si>
  <si>
    <t xml:space="preserve">    Dépôts de l'Administration  Centrale</t>
  </si>
  <si>
    <t xml:space="preserve">   Dépôts    d'agences   gouvernementales</t>
  </si>
  <si>
    <t>Total actif</t>
  </si>
  <si>
    <t>Créances nettes à l'Etat</t>
  </si>
  <si>
    <t>Retour à la Table de Matière</t>
  </si>
  <si>
    <t>Table de Matière</t>
  </si>
  <si>
    <t>Actif de la Banque de la République</t>
  </si>
  <si>
    <t>Cliquez dans cette feuille pour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</si>
  <si>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</si>
  <si>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</si>
  <si>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</si>
  <si>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</si>
  <si>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</si>
  <si>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</si>
  <si>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</si>
  <si>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</si>
  <si>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</si>
  <si>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</si>
  <si>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</si>
  <si>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 situation monétaire données annuelles</t>
  </si>
  <si>
    <t>Actif situation monétaire.xls</t>
  </si>
  <si>
    <t>Dernière date de publication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</si>
  <si>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</si>
  <si>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</si>
  <si>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</si>
  <si>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</si>
  <si>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Source: Compilé sur base des données de la BRB, des banques commerciales, des établissements de microfinances à partir de décembre 2010 et des CCP</t>
  </si>
  <si>
    <t>Période       Rubliques</t>
  </si>
  <si>
    <t xml:space="preserve">Banques commerciales </t>
  </si>
  <si>
    <t xml:space="preserve"> Bons et obligations du Trésor</t>
  </si>
  <si>
    <t>Autres Créances</t>
  </si>
  <si>
    <t>Crédit spécial</t>
  </si>
  <si>
    <t xml:space="preserve">    Dépôts de l' Administration Centrale</t>
  </si>
  <si>
    <t xml:space="preserve">   Dépôts d'agences   gouvernementales</t>
  </si>
  <si>
    <t xml:space="preserve"> Créances sur   les sociétés à participation publique</t>
  </si>
  <si>
    <t xml:space="preserve">  Créances sur les Administrations locales</t>
  </si>
  <si>
    <t>ACTIF SITUATION MONETAIRE</t>
  </si>
  <si>
    <t xml:space="preserve">  Créances sur le secteur privé</t>
  </si>
  <si>
    <t>BRB</t>
  </si>
  <si>
    <t xml:space="preserve">   Créances sur les sociétés à participation publique</t>
  </si>
  <si>
    <t>Actif situation monétaire données mensuelles</t>
  </si>
  <si>
    <t>Actif situation monétaire données trimestrielles</t>
  </si>
  <si>
    <t xml:space="preserve">Actif situation monétaire renseigne sur les contreparties de la masse monétaire à savoir les avoirs extérieurs nets  et le crédit intérieur </t>
  </si>
  <si>
    <t>II.5.1</t>
  </si>
  <si>
    <t>Etablissements de Microfinance</t>
  </si>
  <si>
    <r>
      <t xml:space="preserve">    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</si>
  <si>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</si>
  <si>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</si>
  <si>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</si>
  <si>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</si>
  <si>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</si>
  <si>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Janvier-20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</si>
  <si>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</si>
  <si>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>Février-20</t>
    </r>
    <r>
      <rPr>
        <vertAlign val="superscript"/>
        <sz val="12"/>
        <rFont val="Calibri"/>
        <family val="2"/>
        <scheme val="minor"/>
      </rPr>
      <t>(p)</t>
    </r>
  </si>
  <si>
    <r>
      <t>Mars-20</t>
    </r>
    <r>
      <rPr>
        <vertAlign val="superscript"/>
        <sz val="12"/>
        <rFont val="Calibri"/>
        <family val="2"/>
        <scheme val="minor"/>
      </rPr>
      <t>(p)</t>
    </r>
  </si>
  <si>
    <r>
      <t>Avril-20</t>
    </r>
    <r>
      <rPr>
        <vertAlign val="superscript"/>
        <sz val="12"/>
        <rFont val="Calibri"/>
        <family val="2"/>
        <scheme val="minor"/>
      </rPr>
      <t>(p)</t>
    </r>
  </si>
  <si>
    <r>
      <t>Mai-20</t>
    </r>
    <r>
      <rPr>
        <vertAlign val="superscript"/>
        <sz val="12"/>
        <rFont val="Calibri"/>
        <family val="2"/>
        <scheme val="minor"/>
      </rPr>
      <t>(p)</t>
    </r>
  </si>
  <si>
    <r>
      <t>Juin-20</t>
    </r>
    <r>
      <rPr>
        <vertAlign val="superscript"/>
        <sz val="12"/>
        <rFont val="Calibri"/>
        <family val="2"/>
        <scheme val="minor"/>
      </rPr>
      <t>(p)</t>
    </r>
  </si>
  <si>
    <r>
      <t>Juillet-20</t>
    </r>
    <r>
      <rPr>
        <vertAlign val="superscript"/>
        <sz val="12"/>
        <rFont val="Calibri"/>
        <family val="2"/>
        <scheme val="minor"/>
      </rPr>
      <t>(p)</t>
    </r>
  </si>
  <si>
    <r>
      <t>Aout-20</t>
    </r>
    <r>
      <rPr>
        <vertAlign val="superscript"/>
        <sz val="12"/>
        <rFont val="Calibri"/>
        <family val="2"/>
        <scheme val="minor"/>
      </rPr>
      <t>(p)</t>
    </r>
  </si>
  <si>
    <r>
      <t>Septembre-20</t>
    </r>
    <r>
      <rPr>
        <vertAlign val="superscript"/>
        <sz val="12"/>
        <rFont val="Calibri"/>
        <family val="2"/>
        <scheme val="minor"/>
      </rPr>
      <t>(p)</t>
    </r>
  </si>
  <si>
    <r>
      <t>Octobre-20</t>
    </r>
    <r>
      <rPr>
        <vertAlign val="superscript"/>
        <sz val="12"/>
        <rFont val="Calibri"/>
        <family val="2"/>
        <scheme val="minor"/>
      </rPr>
      <t>(p)</t>
    </r>
  </si>
  <si>
    <t>Q4-2020</t>
  </si>
  <si>
    <t>2020</t>
  </si>
  <si>
    <r>
      <t>Novembre-20</t>
    </r>
    <r>
      <rPr>
        <vertAlign val="superscript"/>
        <sz val="12"/>
        <rFont val="Calibri"/>
        <family val="2"/>
        <scheme val="minor"/>
      </rPr>
      <t>(p)</t>
    </r>
  </si>
  <si>
    <r>
      <t>Décembre-20</t>
    </r>
    <r>
      <rPr>
        <vertAlign val="superscript"/>
        <sz val="12"/>
        <rFont val="Calibri"/>
        <family val="2"/>
        <scheme val="minor"/>
      </rPr>
      <t>(p)</t>
    </r>
  </si>
  <si>
    <r>
      <t>2020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</si>
</sst>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B_u_-;\-* #,##0.00\ _F_B_u_-;_-* &quot;-&quot;??\ _F_B_u_-;_-@_-"/>
    <numFmt numFmtId="165" formatCode="#,##0.0_);\(#,##0.0\)"/>
    <numFmt numFmtId="166" formatCode="0.0_)"/>
    <numFmt numFmtId="167" formatCode="#,##0.0"/>
    <numFmt numFmtId="168" formatCode="[$-40C]mmmm\-yy;@"/>
    <numFmt numFmtId="169" formatCode="[$-409]dd\-mmm\-yy;@"/>
    <numFmt numFmtId="170" formatCode="[$-409]mmm\-yy;@"/>
  </numFmts>
  <fonts count="21">
    <font>
      <sz val="12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u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 "/>
    </font>
    <font>
      <sz val="14"/>
      <name val="Calibri "/>
    </font>
    <font>
      <vertAlign val="superscript"/>
      <sz val="12"/>
      <name val="Calibri"/>
      <family val="2"/>
      <scheme val="minor"/>
    </font>
    <font>
      <sz val="12"/>
      <name val="Helv"/>
    </font>
    <font>
      <sz val="10"/>
      <name val="Helv"/>
    </font>
    <font>
      <sz val="14"/>
      <name val="Helv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6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</cellStyleXfs>
  <cellXfs count="67">
    <xf numFmtId="166" fontId="0" fillId="0" borderId="0" xfId="0"/>
    <xf numFmtId="166" fontId="2" fillId="0" borderId="0" xfId="0" applyFont="1"/>
    <xf numFmtId="166" fontId="2" fillId="0" borderId="0" xfId="0" applyFont="1" applyAlignment="1">
      <alignment horizontal="center"/>
    </xf>
    <xf numFmtId="166" fontId="3" fillId="0" borderId="0" xfId="0" applyFont="1"/>
    <xf numFmtId="166" fontId="4" fillId="0" borderId="0" xfId="0" applyFont="1"/>
    <xf numFmtId="166" fontId="5" fillId="0" borderId="0" xfId="0" applyFont="1"/>
    <xf numFmtId="166" fontId="6" fillId="3" borderId="14" xfId="0" applyFont="1" applyFill="1" applyBorder="1"/>
    <xf numFmtId="0" fontId="8" fillId="4" borderId="0" xfId="1" applyFont="1" applyFill="1" applyAlignment="1" applyProtection="1"/>
    <xf numFmtId="166" fontId="4" fillId="4" borderId="0" xfId="0" applyFont="1" applyFill="1"/>
    <xf numFmtId="4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166" fontId="9" fillId="4" borderId="15" xfId="0" applyFont="1" applyFill="1" applyBorder="1"/>
    <xf numFmtId="166" fontId="4" fillId="4" borderId="15" xfId="0" applyFont="1" applyFill="1" applyBorder="1"/>
    <xf numFmtId="169" fontId="4" fillId="0" borderId="0" xfId="0" applyNumberFormat="1" applyFont="1" applyAlignment="1">
      <alignment horizontal="left"/>
    </xf>
    <xf numFmtId="0" fontId="7" fillId="0" borderId="0" xfId="1" applyAlignment="1" applyProtection="1"/>
    <xf numFmtId="166" fontId="7" fillId="0" borderId="0" xfId="1" applyNumberFormat="1" applyAlignment="1" applyProtection="1">
      <alignment horizontal="center"/>
    </xf>
    <xf numFmtId="166" fontId="7" fillId="0" borderId="0" xfId="1" applyNumberFormat="1" applyAlignment="1" applyProtection="1"/>
    <xf numFmtId="166" fontId="11" fillId="0" borderId="7" xfId="0" applyFont="1" applyBorder="1" applyAlignment="1">
      <alignment horizontal="center"/>
    </xf>
    <xf numFmtId="166" fontId="11" fillId="0" borderId="8" xfId="0" applyFont="1" applyBorder="1" applyAlignment="1">
      <alignment horizontal="center"/>
    </xf>
    <xf numFmtId="166" fontId="11" fillId="0" borderId="9" xfId="0" applyFont="1" applyBorder="1" applyAlignment="1">
      <alignment horizontal="center"/>
    </xf>
    <xf numFmtId="166" fontId="12" fillId="0" borderId="0" xfId="0" applyFont="1" applyAlignment="1">
      <alignment horizontal="justify" vertical="center"/>
    </xf>
    <xf numFmtId="166" fontId="2" fillId="0" borderId="0" xfId="0" applyFont="1" applyBorder="1" applyAlignment="1">
      <alignment horizontal="center"/>
    </xf>
    <xf numFmtId="170" fontId="4" fillId="4" borderId="0" xfId="0" applyNumberFormat="1" applyFont="1" applyFill="1" applyAlignment="1">
      <alignment horizontal="right"/>
    </xf>
    <xf numFmtId="166" fontId="16" fillId="0" borderId="0" xfId="0" applyFont="1" applyBorder="1"/>
    <xf numFmtId="166" fontId="16" fillId="0" borderId="0" xfId="0" applyFont="1"/>
    <xf numFmtId="165" fontId="16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fill"/>
    </xf>
    <xf numFmtId="166" fontId="15" fillId="5" borderId="10" xfId="0" applyFont="1" applyFill="1" applyBorder="1" applyAlignment="1">
      <alignment horizontal="center" vertical="center" wrapText="1"/>
    </xf>
    <xf numFmtId="165" fontId="15" fillId="5" borderId="10" xfId="0" applyNumberFormat="1" applyFont="1" applyFill="1" applyBorder="1" applyAlignment="1" applyProtection="1">
      <alignment horizontal="center" vertical="center" wrapText="1"/>
    </xf>
    <xf numFmtId="165" fontId="15" fillId="5" borderId="11" xfId="0" applyNumberFormat="1" applyFont="1" applyFill="1" applyBorder="1" applyAlignment="1" applyProtection="1">
      <alignment horizontal="center" vertical="center" wrapText="1"/>
    </xf>
    <xf numFmtId="168" fontId="14" fillId="0" borderId="10" xfId="0" quotePrefix="1" applyNumberFormat="1" applyFont="1" applyFill="1" applyBorder="1" applyAlignment="1" applyProtection="1">
      <alignment horizontal="center"/>
    </xf>
    <xf numFmtId="167" fontId="14" fillId="0" borderId="10" xfId="0" applyNumberFormat="1" applyFont="1" applyFill="1" applyBorder="1" applyAlignment="1" applyProtection="1">
      <alignment horizontal="center"/>
    </xf>
    <xf numFmtId="167" fontId="14" fillId="0" borderId="10" xfId="0" quotePrefix="1" applyNumberFormat="1" applyFont="1" applyFill="1" applyBorder="1" applyAlignment="1" applyProtection="1">
      <alignment horizontal="center"/>
    </xf>
    <xf numFmtId="167" fontId="14" fillId="2" borderId="10" xfId="0" applyNumberFormat="1" applyFont="1" applyFill="1" applyBorder="1" applyAlignment="1" applyProtection="1">
      <alignment horizontal="center"/>
    </xf>
    <xf numFmtId="167" fontId="14" fillId="0" borderId="10" xfId="0" applyNumberFormat="1" applyFont="1" applyFill="1" applyBorder="1" applyAlignment="1">
      <alignment horizontal="center"/>
    </xf>
    <xf numFmtId="167" fontId="14" fillId="0" borderId="11" xfId="0" applyNumberFormat="1" applyFont="1" applyFill="1" applyBorder="1" applyAlignment="1" applyProtection="1">
      <alignment horizontal="center"/>
    </xf>
    <xf numFmtId="166" fontId="14" fillId="0" borderId="0" xfId="0" applyFont="1" applyBorder="1" applyAlignment="1">
      <alignment horizontal="center"/>
    </xf>
    <xf numFmtId="166" fontId="14" fillId="0" borderId="0" xfId="0" applyFont="1" applyAlignment="1">
      <alignment horizontal="center"/>
    </xf>
    <xf numFmtId="166" fontId="14" fillId="0" borderId="10" xfId="0" applyNumberFormat="1" applyFont="1" applyBorder="1" applyAlignment="1" applyProtection="1">
      <alignment horizontal="center"/>
    </xf>
    <xf numFmtId="0" fontId="14" fillId="2" borderId="10" xfId="0" quotePrefix="1" applyNumberFormat="1" applyFont="1" applyFill="1" applyBorder="1" applyAlignment="1" applyProtection="1">
      <alignment horizontal="left"/>
    </xf>
    <xf numFmtId="166" fontId="10" fillId="0" borderId="0" xfId="0" applyFont="1" applyBorder="1" applyAlignment="1">
      <alignment horizontal="center" wrapText="1"/>
    </xf>
    <xf numFmtId="166" fontId="19" fillId="0" borderId="0" xfId="0" applyFont="1" applyFill="1"/>
    <xf numFmtId="167" fontId="20" fillId="0" borderId="0" xfId="2" applyNumberFormat="1" applyFont="1" applyFill="1" applyAlignment="1" applyProtection="1">
      <alignment horizontal="right"/>
    </xf>
    <xf numFmtId="166" fontId="1" fillId="0" borderId="0" xfId="0" applyFont="1" applyAlignment="1">
      <alignment horizontal="center"/>
    </xf>
    <xf numFmtId="166" fontId="15" fillId="5" borderId="11" xfId="0" applyFont="1" applyFill="1" applyBorder="1" applyAlignment="1">
      <alignment horizontal="center"/>
    </xf>
    <xf numFmtId="166" fontId="15" fillId="5" borderId="12" xfId="0" applyFont="1" applyFill="1" applyBorder="1" applyAlignment="1">
      <alignment horizontal="center"/>
    </xf>
    <xf numFmtId="166" fontId="15" fillId="5" borderId="13" xfId="0" applyFont="1" applyFill="1" applyBorder="1" applyAlignment="1">
      <alignment horizontal="center"/>
    </xf>
    <xf numFmtId="166" fontId="11" fillId="0" borderId="4" xfId="0" applyFont="1" applyBorder="1" applyAlignment="1">
      <alignment horizontal="left"/>
    </xf>
    <xf numFmtId="166" fontId="11" fillId="0" borderId="5" xfId="0" applyFont="1" applyBorder="1" applyAlignment="1">
      <alignment horizontal="left"/>
    </xf>
    <xf numFmtId="166" fontId="11" fillId="0" borderId="6" xfId="0" applyFont="1" applyBorder="1" applyAlignment="1">
      <alignment horizontal="left"/>
    </xf>
    <xf numFmtId="166" fontId="11" fillId="0" borderId="1" xfId="0" applyFont="1" applyBorder="1" applyAlignment="1">
      <alignment horizontal="left"/>
    </xf>
    <xf numFmtId="166" fontId="11" fillId="0" borderId="2" xfId="0" applyFont="1" applyBorder="1" applyAlignment="1">
      <alignment horizontal="left"/>
    </xf>
    <xf numFmtId="166" fontId="11" fillId="0" borderId="3" xfId="0" applyFont="1" applyBorder="1" applyAlignment="1">
      <alignment horizontal="left"/>
    </xf>
    <xf numFmtId="166" fontId="15" fillId="5" borderId="7" xfId="0" applyFont="1" applyFill="1" applyBorder="1" applyAlignment="1">
      <alignment horizontal="center" vertical="center"/>
    </xf>
    <xf numFmtId="166" fontId="15" fillId="5" borderId="9" xfId="0" applyFont="1" applyFill="1" applyBorder="1" applyAlignment="1">
      <alignment horizontal="center" vertical="center"/>
    </xf>
    <xf numFmtId="165" fontId="15" fillId="5" borderId="7" xfId="0" applyNumberFormat="1" applyFont="1" applyFill="1" applyBorder="1" applyAlignment="1" applyProtection="1">
      <alignment horizontal="center" vertical="center"/>
    </xf>
    <xf numFmtId="165" fontId="15" fillId="5" borderId="8" xfId="0" applyNumberFormat="1" applyFont="1" applyFill="1" applyBorder="1" applyAlignment="1" applyProtection="1">
      <alignment horizontal="center" vertical="center"/>
    </xf>
    <xf numFmtId="165" fontId="15" fillId="5" borderId="9" xfId="0" applyNumberFormat="1" applyFont="1" applyFill="1" applyBorder="1" applyAlignment="1" applyProtection="1">
      <alignment horizontal="center" vertical="center"/>
    </xf>
    <xf numFmtId="165" fontId="15" fillId="5" borderId="4" xfId="0" applyNumberFormat="1" applyFont="1" applyFill="1" applyBorder="1" applyAlignment="1" applyProtection="1">
      <alignment horizontal="center"/>
    </xf>
    <xf numFmtId="165" fontId="15" fillId="5" borderId="5" xfId="0" applyNumberFormat="1" applyFont="1" applyFill="1" applyBorder="1" applyAlignment="1" applyProtection="1">
      <alignment horizontal="center"/>
    </xf>
    <xf numFmtId="165" fontId="15" fillId="5" borderId="6" xfId="0" applyNumberFormat="1" applyFont="1" applyFill="1" applyBorder="1" applyAlignment="1" applyProtection="1">
      <alignment horizontal="center"/>
    </xf>
    <xf numFmtId="165" fontId="15" fillId="5" borderId="1" xfId="0" applyNumberFormat="1" applyFont="1" applyFill="1" applyBorder="1" applyAlignment="1" applyProtection="1">
      <alignment horizontal="center"/>
    </xf>
    <xf numFmtId="165" fontId="15" fillId="5" borderId="2" xfId="0" applyNumberFormat="1" applyFont="1" applyFill="1" applyBorder="1" applyAlignment="1" applyProtection="1">
      <alignment horizontal="center"/>
    </xf>
    <xf numFmtId="165" fontId="15" fillId="5" borderId="3" xfId="0" applyNumberFormat="1" applyFont="1" applyFill="1" applyBorder="1" applyAlignment="1" applyProtection="1">
      <alignment horizontal="center"/>
    </xf>
    <xf numFmtId="166" fontId="15" fillId="5" borderId="16" xfId="0" applyFont="1" applyFill="1" applyBorder="1" applyAlignment="1">
      <alignment horizontal="center" vertical="center"/>
    </xf>
    <xf numFmtId="166" fontId="15" fillId="5" borderId="17" xfId="0" applyFont="1" applyFill="1" applyBorder="1" applyAlignment="1">
      <alignment horizontal="center" vertical="center"/>
    </xf>
    <xf numFmtId="166" fontId="15" fillId="5" borderId="18" xfId="0" applyFont="1" applyFill="1" applyBorder="1" applyAlignment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tabSelected="1" topLeftCell="D1" workbookViewId="0">
      <selection activeCell="E12" sqref="E12:E14"/>
    </sheetView>
  </sheetViews>
  <sheetFormatPr baseColWidth="10" defaultColWidth="8.88671875" defaultRowHeight="15.75"/>
  <cols>
    <col min="1" max="1" width="4.21875" style="4" customWidth="1"/>
    <col min="2" max="2" width="68.6640625" style="4" bestFit="1" customWidth="1"/>
    <col min="3" max="3" width="39.88671875" style="4" bestFit="1" customWidth="1"/>
    <col min="4" max="4" width="17.109375" style="4" bestFit="1" customWidth="1"/>
    <col min="5" max="5" width="15.88671875" style="4" customWidth="1"/>
    <col min="6" max="256" width="8.88671875" style="4"/>
    <col min="257" max="257" width="4.21875" style="4" customWidth="1"/>
    <col min="258" max="258" width="25.441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25.441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25.441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25.441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25.441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25.441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25.441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25.441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25.441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25.441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25.441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25.441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25.441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25.441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25.441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25.441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25.441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25.441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25.441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25.441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25.441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25.441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25.441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25.441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25.441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25.441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25.441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25.441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25.441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25.441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25.441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25.441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25.441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25.441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25.441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25.441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25.441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25.441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25.441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25.441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25.441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25.441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25.441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25.441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25.441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25.441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25.441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25.441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25.441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25.441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25.441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25.441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25.441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25.441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25.441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25.441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25.441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25.441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25.441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25.441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25.441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25.441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25.441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>
      <c r="B2" s="20" t="s">
        <v>41</v>
      </c>
    </row>
    <row r="3" spans="2:5">
      <c r="B3" s="20" t="s">
        <v>42</v>
      </c>
      <c r="C3"/>
    </row>
    <row r="4" spans="2:5">
      <c r="B4" s="20" t="s">
        <v>43</v>
      </c>
    </row>
    <row r="5" spans="2:5">
      <c r="B5" s="20" t="s">
        <v>44</v>
      </c>
    </row>
    <row r="7" spans="2:5" ht="18.75">
      <c r="B7" s="3" t="s">
        <v>24</v>
      </c>
    </row>
    <row r="8" spans="2:5" ht="18.75">
      <c r="B8" s="5" t="s">
        <v>25</v>
      </c>
    </row>
    <row r="10" spans="2:5">
      <c r="B10" s="4" t="s">
        <v>26</v>
      </c>
    </row>
    <row r="11" spans="2:5" ht="16.5" thickBot="1">
      <c r="B11" s="6" t="s">
        <v>27</v>
      </c>
      <c r="C11" s="6" t="s">
        <v>28</v>
      </c>
      <c r="D11" s="6" t="s">
        <v>29</v>
      </c>
      <c r="E11" s="6" t="s">
        <v>40</v>
      </c>
    </row>
    <row r="12" spans="2:5">
      <c r="B12" s="7" t="s">
        <v>30</v>
      </c>
      <c r="C12" s="8" t="s">
        <v>59</v>
      </c>
      <c r="D12" s="8" t="s">
        <v>30</v>
      </c>
      <c r="E12" s="22">
        <v>44196</v>
      </c>
    </row>
    <row r="13" spans="2:5">
      <c r="B13" s="7" t="s">
        <v>31</v>
      </c>
      <c r="C13" s="8" t="s">
        <v>60</v>
      </c>
      <c r="D13" s="8" t="s">
        <v>31</v>
      </c>
      <c r="E13" s="10" t="s">
        <v>81</v>
      </c>
    </row>
    <row r="14" spans="2:5">
      <c r="B14" s="7" t="s">
        <v>32</v>
      </c>
      <c r="C14" s="8" t="s">
        <v>38</v>
      </c>
      <c r="D14" s="8" t="s">
        <v>32</v>
      </c>
      <c r="E14" s="9" t="s">
        <v>82</v>
      </c>
    </row>
    <row r="15" spans="2:5" ht="16.5" thickBot="1">
      <c r="B15" s="11"/>
      <c r="C15" s="12"/>
      <c r="D15" s="12"/>
      <c r="E15" s="12"/>
    </row>
    <row r="17" spans="2:3">
      <c r="B17" s="4" t="s">
        <v>33</v>
      </c>
      <c r="C17" s="13"/>
    </row>
    <row r="18" spans="2:3">
      <c r="B18" s="4" t="s">
        <v>34</v>
      </c>
      <c r="C18" s="13"/>
    </row>
    <row r="20" spans="2:3">
      <c r="B20" s="4" t="s">
        <v>35</v>
      </c>
      <c r="C20" s="4" t="s">
        <v>39</v>
      </c>
    </row>
    <row r="21" spans="2:3">
      <c r="B21" s="4" t="s">
        <v>36</v>
      </c>
      <c r="C21" s="14" t="s">
        <v>37</v>
      </c>
    </row>
    <row r="24" spans="2:3" ht="31.5">
      <c r="B24" s="40" t="s">
        <v>61</v>
      </c>
    </row>
    <row r="25" spans="2:3" ht="15.75" customHeight="1">
      <c r="B25" s="17" t="s">
        <v>18</v>
      </c>
    </row>
    <row r="26" spans="2:3" ht="15.75" customHeight="1">
      <c r="B26" s="18" t="s">
        <v>17</v>
      </c>
    </row>
    <row r="27" spans="2:3" ht="15.75" customHeight="1">
      <c r="B27" s="19" t="s">
        <v>5</v>
      </c>
    </row>
    <row r="28" spans="2:3">
      <c r="B28" s="19" t="s">
        <v>1</v>
      </c>
    </row>
    <row r="29" spans="2:3">
      <c r="B29" s="19" t="s">
        <v>10</v>
      </c>
    </row>
    <row r="30" spans="2:3">
      <c r="B30" s="19" t="s">
        <v>11</v>
      </c>
    </row>
    <row r="31" spans="2:3">
      <c r="B31" s="19" t="s">
        <v>12</v>
      </c>
    </row>
    <row r="32" spans="2:3">
      <c r="B32" s="19" t="s">
        <v>13</v>
      </c>
    </row>
    <row r="33" spans="2:2">
      <c r="B33" s="19" t="s">
        <v>14</v>
      </c>
    </row>
    <row r="34" spans="2:2">
      <c r="B34" s="19" t="s">
        <v>15</v>
      </c>
    </row>
    <row r="35" spans="2:2">
      <c r="B35" s="19" t="s">
        <v>19</v>
      </c>
    </row>
    <row r="36" spans="2:2">
      <c r="B36" s="19" t="s">
        <v>20</v>
      </c>
    </row>
    <row r="37" spans="2:2">
      <c r="B37" s="19" t="s">
        <v>6</v>
      </c>
    </row>
    <row r="38" spans="2:2">
      <c r="B38" s="19" t="s">
        <v>58</v>
      </c>
    </row>
    <row r="39" spans="2:2">
      <c r="B39" s="19" t="s">
        <v>56</v>
      </c>
    </row>
    <row r="40" spans="2:2">
      <c r="B40" s="19" t="s">
        <v>54</v>
      </c>
    </row>
    <row r="41" spans="2:2">
      <c r="B41" s="19" t="s">
        <v>7</v>
      </c>
    </row>
    <row r="42" spans="2:2">
      <c r="B42" s="19" t="s">
        <v>8</v>
      </c>
    </row>
    <row r="43" spans="2:2">
      <c r="B43" s="19" t="s">
        <v>9</v>
      </c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W164"/>
  <sheetViews>
    <sheetView workbookViewId="0">
      <pane xSplit="1" ySplit="6" topLeftCell="U154" activePane="bottomRight" state="frozen"/>
      <selection pane="topRight" activeCell="B1" sqref="B1"/>
      <selection pane="bottomLeft" activeCell="A7" sqref="A7"/>
      <selection pane="bottomRight" activeCell="A160" sqref="A160"/>
    </sheetView>
  </sheetViews>
  <sheetFormatPr baseColWidth="10" defaultColWidth="11.5546875" defaultRowHeight="18.75"/>
  <cols>
    <col min="1" max="1" width="32.6640625" style="2" customWidth="1"/>
    <col min="2" max="2" width="11.6640625" style="2" bestFit="1" customWidth="1"/>
    <col min="3" max="3" width="15.5546875" style="2" customWidth="1"/>
    <col min="4" max="4" width="16.88671875" style="2" customWidth="1"/>
    <col min="5" max="5" width="10.6640625" style="2" customWidth="1"/>
    <col min="6" max="6" width="10.77734375" style="2" customWidth="1"/>
    <col min="7" max="7" width="21.5546875" style="2" bestFit="1" customWidth="1"/>
    <col min="8" max="8" width="12.109375" style="2" customWidth="1"/>
    <col min="9" max="10" width="11.6640625" style="2" bestFit="1" customWidth="1"/>
    <col min="11" max="11" width="16.6640625" style="2" customWidth="1"/>
    <col min="12" max="12" width="13.77734375" style="2" bestFit="1" customWidth="1"/>
    <col min="13" max="13" width="24.21875" style="2" customWidth="1"/>
    <col min="14" max="14" width="22.109375" style="2" customWidth="1"/>
    <col min="15" max="15" width="13.33203125" style="2" customWidth="1"/>
    <col min="16" max="16" width="22.21875" style="2" customWidth="1"/>
    <col min="17" max="17" width="11.6640625" style="2" bestFit="1" customWidth="1"/>
    <col min="18" max="18" width="20.6640625" style="2" customWidth="1"/>
    <col min="19" max="20" width="11.6640625" style="2" bestFit="1" customWidth="1"/>
    <col min="21" max="21" width="14.33203125" style="21" customWidth="1"/>
    <col min="22" max="16384" width="11.5546875" style="2"/>
  </cols>
  <sheetData>
    <row r="1" spans="1:21">
      <c r="A1" s="15" t="s">
        <v>23</v>
      </c>
      <c r="U1" s="21" t="s">
        <v>62</v>
      </c>
    </row>
    <row r="2" spans="1:21">
      <c r="F2" s="43" t="s">
        <v>55</v>
      </c>
      <c r="G2" s="43"/>
      <c r="H2" s="43"/>
    </row>
    <row r="3" spans="1:21" ht="21" customHeight="1"/>
    <row r="4" spans="1:21" s="24" customFormat="1" ht="15.75" customHeight="1">
      <c r="A4" s="64" t="s">
        <v>46</v>
      </c>
      <c r="B4" s="58" t="s">
        <v>3</v>
      </c>
      <c r="C4" s="59"/>
      <c r="D4" s="59"/>
      <c r="E4" s="60"/>
      <c r="F4" s="44" t="s">
        <v>4</v>
      </c>
      <c r="G4" s="45"/>
      <c r="H4" s="45"/>
      <c r="I4" s="45"/>
      <c r="J4" s="45"/>
      <c r="K4" s="45"/>
      <c r="L4" s="45"/>
      <c r="M4" s="45"/>
      <c r="N4" s="45"/>
      <c r="O4" s="46"/>
      <c r="P4" s="44"/>
      <c r="Q4" s="45"/>
      <c r="R4" s="45"/>
      <c r="S4" s="45"/>
      <c r="T4" s="45"/>
      <c r="U4" s="55" t="s">
        <v>21</v>
      </c>
    </row>
    <row r="5" spans="1:21" s="24" customFormat="1" ht="18">
      <c r="A5" s="65"/>
      <c r="B5" s="61"/>
      <c r="C5" s="62"/>
      <c r="D5" s="62"/>
      <c r="E5" s="63"/>
      <c r="F5" s="44" t="s">
        <v>22</v>
      </c>
      <c r="G5" s="45"/>
      <c r="H5" s="45"/>
      <c r="I5" s="45"/>
      <c r="J5" s="45"/>
      <c r="K5" s="45"/>
      <c r="L5" s="45"/>
      <c r="M5" s="45"/>
      <c r="N5" s="45"/>
      <c r="O5" s="46"/>
      <c r="P5" s="44" t="s">
        <v>7</v>
      </c>
      <c r="Q5" s="45"/>
      <c r="R5" s="45"/>
      <c r="S5" s="45"/>
      <c r="T5" s="53" t="s">
        <v>0</v>
      </c>
      <c r="U5" s="56"/>
    </row>
    <row r="6" spans="1:21" s="24" customFormat="1" ht="90">
      <c r="A6" s="66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4"/>
      <c r="U6" s="57"/>
    </row>
    <row r="7" spans="1:21" s="37" customFormat="1" ht="15.75">
      <c r="A7" s="30">
        <v>39448</v>
      </c>
      <c r="B7" s="31">
        <v>71000.099999999977</v>
      </c>
      <c r="C7" s="31">
        <v>72524.799999999988</v>
      </c>
      <c r="D7" s="31"/>
      <c r="E7" s="31">
        <f>SUM(B7:D7)</f>
        <v>143524.89999999997</v>
      </c>
      <c r="F7" s="31">
        <v>158139.70000000001</v>
      </c>
      <c r="G7" s="31">
        <v>40422.300000000003</v>
      </c>
      <c r="H7" s="31"/>
      <c r="I7" s="31">
        <v>5365.5</v>
      </c>
      <c r="J7" s="32"/>
      <c r="K7" s="32"/>
      <c r="L7" s="33">
        <f t="shared" ref="L7:L70" si="0">SUM(F7:K7)</f>
        <v>203927.5</v>
      </c>
      <c r="M7" s="34">
        <v>80610.600000000006</v>
      </c>
      <c r="N7" s="31">
        <v>9941.8999999999978</v>
      </c>
      <c r="O7" s="33">
        <f t="shared" ref="O7:O70" si="1">L7-M7-N7</f>
        <v>113375</v>
      </c>
      <c r="P7" s="31">
        <v>9503.2000000000007</v>
      </c>
      <c r="Q7" s="31">
        <v>218676.50000000003</v>
      </c>
      <c r="R7" s="33">
        <v>77.900000000000006</v>
      </c>
      <c r="S7" s="31">
        <f>SUM(P7:R7)</f>
        <v>228257.60000000003</v>
      </c>
      <c r="T7" s="35">
        <f t="shared" ref="T7:T38" si="2">S7+O7</f>
        <v>341632.60000000003</v>
      </c>
      <c r="U7" s="31">
        <f t="shared" ref="U7:U38" si="3">T7+E7</f>
        <v>485157.5</v>
      </c>
    </row>
    <row r="8" spans="1:21" s="37" customFormat="1" ht="15.75">
      <c r="A8" s="30">
        <v>39479</v>
      </c>
      <c r="B8" s="31">
        <v>62812.299999999988</v>
      </c>
      <c r="C8" s="31">
        <v>81461.900000000009</v>
      </c>
      <c r="D8" s="31"/>
      <c r="E8" s="31">
        <f t="shared" ref="E8:E71" si="4">SUM(B8:D8)</f>
        <v>144274.20000000001</v>
      </c>
      <c r="F8" s="31">
        <v>163802</v>
      </c>
      <c r="G8" s="31">
        <v>45396.9</v>
      </c>
      <c r="H8" s="31" t="s">
        <v>2</v>
      </c>
      <c r="I8" s="31">
        <v>6283.7000000000007</v>
      </c>
      <c r="J8" s="32" t="s">
        <v>2</v>
      </c>
      <c r="K8" s="32" t="s">
        <v>2</v>
      </c>
      <c r="L8" s="33">
        <f t="shared" si="0"/>
        <v>215482.6</v>
      </c>
      <c r="M8" s="34">
        <v>76125.5</v>
      </c>
      <c r="N8" s="31">
        <v>9334.5</v>
      </c>
      <c r="O8" s="33">
        <f t="shared" si="1"/>
        <v>130022.6</v>
      </c>
      <c r="P8" s="31">
        <v>9111.2000000000007</v>
      </c>
      <c r="Q8" s="31">
        <v>217278.00000000003</v>
      </c>
      <c r="R8" s="33">
        <v>106.1</v>
      </c>
      <c r="S8" s="31">
        <f t="shared" ref="S8:S71" si="5">SUM(P8:R8)</f>
        <v>226495.30000000005</v>
      </c>
      <c r="T8" s="35">
        <f t="shared" si="2"/>
        <v>356517.9</v>
      </c>
      <c r="U8" s="31">
        <f t="shared" si="3"/>
        <v>500792.10000000003</v>
      </c>
    </row>
    <row r="9" spans="1:21" s="37" customFormat="1" ht="15.75">
      <c r="A9" s="30">
        <v>39508</v>
      </c>
      <c r="B9" s="31">
        <v>60403.499999999942</v>
      </c>
      <c r="C9" s="31">
        <v>88180.9</v>
      </c>
      <c r="D9" s="31"/>
      <c r="E9" s="31">
        <f t="shared" si="4"/>
        <v>148584.39999999994</v>
      </c>
      <c r="F9" s="31">
        <v>173616.9</v>
      </c>
      <c r="G9" s="31">
        <v>45326.400000000001</v>
      </c>
      <c r="H9" s="31" t="s">
        <v>2</v>
      </c>
      <c r="I9" s="31">
        <v>6220.2999999999993</v>
      </c>
      <c r="J9" s="32" t="s">
        <v>2</v>
      </c>
      <c r="K9" s="32" t="s">
        <v>2</v>
      </c>
      <c r="L9" s="33">
        <f t="shared" si="0"/>
        <v>225163.59999999998</v>
      </c>
      <c r="M9" s="34">
        <v>80768</v>
      </c>
      <c r="N9" s="31">
        <v>11101.600000000002</v>
      </c>
      <c r="O9" s="33">
        <f t="shared" si="1"/>
        <v>133293.99999999997</v>
      </c>
      <c r="P9" s="31">
        <v>9802.6999999999989</v>
      </c>
      <c r="Q9" s="31">
        <v>220978.30000000005</v>
      </c>
      <c r="R9" s="33">
        <v>105.1</v>
      </c>
      <c r="S9" s="31">
        <f t="shared" si="5"/>
        <v>230886.10000000006</v>
      </c>
      <c r="T9" s="35">
        <f t="shared" si="2"/>
        <v>364180.10000000003</v>
      </c>
      <c r="U9" s="31">
        <f t="shared" si="3"/>
        <v>512764.5</v>
      </c>
    </row>
    <row r="10" spans="1:21" s="37" customFormat="1" ht="15.75">
      <c r="A10" s="30">
        <v>39539</v>
      </c>
      <c r="B10" s="31">
        <v>65629.399999999994</v>
      </c>
      <c r="C10" s="31">
        <v>84707.599999999977</v>
      </c>
      <c r="D10" s="31"/>
      <c r="E10" s="31">
        <f t="shared" si="4"/>
        <v>150336.99999999997</v>
      </c>
      <c r="F10" s="31">
        <v>179672.1</v>
      </c>
      <c r="G10" s="31">
        <v>44626.400000000001</v>
      </c>
      <c r="H10" s="31" t="s">
        <v>2</v>
      </c>
      <c r="I10" s="31">
        <v>8569.1</v>
      </c>
      <c r="J10" s="32" t="s">
        <v>2</v>
      </c>
      <c r="K10" s="32" t="s">
        <v>2</v>
      </c>
      <c r="L10" s="33">
        <f t="shared" si="0"/>
        <v>232867.6</v>
      </c>
      <c r="M10" s="34">
        <v>91380.599999999991</v>
      </c>
      <c r="N10" s="31">
        <v>11534.699999999999</v>
      </c>
      <c r="O10" s="33">
        <f t="shared" si="1"/>
        <v>129952.3</v>
      </c>
      <c r="P10" s="31">
        <v>9230.9999999999982</v>
      </c>
      <c r="Q10" s="31">
        <v>223510</v>
      </c>
      <c r="R10" s="33">
        <v>104.3</v>
      </c>
      <c r="S10" s="31">
        <f t="shared" si="5"/>
        <v>232845.3</v>
      </c>
      <c r="T10" s="35">
        <f t="shared" si="2"/>
        <v>362797.6</v>
      </c>
      <c r="U10" s="31">
        <f t="shared" si="3"/>
        <v>513134.6</v>
      </c>
    </row>
    <row r="11" spans="1:21" s="37" customFormat="1" ht="15.75">
      <c r="A11" s="30">
        <v>39569</v>
      </c>
      <c r="B11" s="31">
        <v>61488</v>
      </c>
      <c r="C11" s="31">
        <v>79298.499999999985</v>
      </c>
      <c r="D11" s="31"/>
      <c r="E11" s="31">
        <f t="shared" si="4"/>
        <v>140786.5</v>
      </c>
      <c r="F11" s="31">
        <v>182582.3</v>
      </c>
      <c r="G11" s="31">
        <v>40822.200000000004</v>
      </c>
      <c r="H11" s="31" t="s">
        <v>2</v>
      </c>
      <c r="I11" s="31">
        <v>5414</v>
      </c>
      <c r="J11" s="32" t="s">
        <v>2</v>
      </c>
      <c r="K11" s="32" t="s">
        <v>2</v>
      </c>
      <c r="L11" s="33">
        <f t="shared" si="0"/>
        <v>228818.5</v>
      </c>
      <c r="M11" s="34">
        <v>89184.723000000013</v>
      </c>
      <c r="N11" s="31">
        <v>10026.699999999999</v>
      </c>
      <c r="O11" s="33">
        <f t="shared" si="1"/>
        <v>129607.077</v>
      </c>
      <c r="P11" s="31">
        <v>9642.4</v>
      </c>
      <c r="Q11" s="31">
        <v>225959.4</v>
      </c>
      <c r="R11" s="33">
        <v>104.4</v>
      </c>
      <c r="S11" s="31">
        <f t="shared" si="5"/>
        <v>235706.19999999998</v>
      </c>
      <c r="T11" s="35">
        <f t="shared" si="2"/>
        <v>365313.277</v>
      </c>
      <c r="U11" s="31">
        <f t="shared" si="3"/>
        <v>506099.777</v>
      </c>
    </row>
    <row r="12" spans="1:21" s="37" customFormat="1" ht="15.75">
      <c r="A12" s="30">
        <v>39600</v>
      </c>
      <c r="B12" s="31">
        <v>56309.5</v>
      </c>
      <c r="C12" s="31">
        <v>82636.399999999994</v>
      </c>
      <c r="D12" s="31"/>
      <c r="E12" s="31">
        <f t="shared" si="4"/>
        <v>138945.9</v>
      </c>
      <c r="F12" s="31">
        <v>185113.8</v>
      </c>
      <c r="G12" s="31">
        <v>41022.200000000004</v>
      </c>
      <c r="H12" s="31" t="s">
        <v>2</v>
      </c>
      <c r="I12" s="31">
        <v>8052.4</v>
      </c>
      <c r="J12" s="32" t="s">
        <v>2</v>
      </c>
      <c r="K12" s="32" t="s">
        <v>2</v>
      </c>
      <c r="L12" s="33">
        <f t="shared" si="0"/>
        <v>234188.4</v>
      </c>
      <c r="M12" s="34">
        <v>82103</v>
      </c>
      <c r="N12" s="31">
        <v>10096.199999999999</v>
      </c>
      <c r="O12" s="33">
        <f t="shared" si="1"/>
        <v>141989.19999999998</v>
      </c>
      <c r="P12" s="31">
        <v>12850.8</v>
      </c>
      <c r="Q12" s="31">
        <v>237857.6</v>
      </c>
      <c r="R12" s="33">
        <v>101.8</v>
      </c>
      <c r="S12" s="31">
        <f t="shared" si="5"/>
        <v>250810.19999999998</v>
      </c>
      <c r="T12" s="35">
        <f t="shared" si="2"/>
        <v>392799.39999999997</v>
      </c>
      <c r="U12" s="31">
        <f t="shared" si="3"/>
        <v>531745.29999999993</v>
      </c>
    </row>
    <row r="13" spans="1:21" s="37" customFormat="1" ht="15.75">
      <c r="A13" s="30">
        <v>39630</v>
      </c>
      <c r="B13" s="31">
        <v>70144.199999999953</v>
      </c>
      <c r="C13" s="31">
        <v>74558.799999999988</v>
      </c>
      <c r="D13" s="31"/>
      <c r="E13" s="31">
        <f t="shared" si="4"/>
        <v>144702.99999999994</v>
      </c>
      <c r="F13" s="31">
        <v>177924.3</v>
      </c>
      <c r="G13" s="31">
        <v>36154.800000000003</v>
      </c>
      <c r="H13" s="31" t="s">
        <v>2</v>
      </c>
      <c r="I13" s="31">
        <v>7102.2999999999993</v>
      </c>
      <c r="J13" s="32" t="s">
        <v>2</v>
      </c>
      <c r="K13" s="32" t="s">
        <v>2</v>
      </c>
      <c r="L13" s="33">
        <f t="shared" si="0"/>
        <v>221181.39999999997</v>
      </c>
      <c r="M13" s="34">
        <v>79078.900000000009</v>
      </c>
      <c r="N13" s="31">
        <v>9264.6999999999989</v>
      </c>
      <c r="O13" s="33">
        <f t="shared" si="1"/>
        <v>132837.79999999993</v>
      </c>
      <c r="P13" s="31">
        <v>23911.999999999996</v>
      </c>
      <c r="Q13" s="31">
        <v>245655.30000000002</v>
      </c>
      <c r="R13" s="33">
        <v>102.39999999999999</v>
      </c>
      <c r="S13" s="31">
        <f t="shared" si="5"/>
        <v>269669.7</v>
      </c>
      <c r="T13" s="35">
        <f t="shared" si="2"/>
        <v>402507.49999999994</v>
      </c>
      <c r="U13" s="31">
        <f t="shared" si="3"/>
        <v>547210.49999999988</v>
      </c>
    </row>
    <row r="14" spans="1:21" s="37" customFormat="1" ht="15.75">
      <c r="A14" s="30">
        <v>39661</v>
      </c>
      <c r="B14" s="31">
        <v>79117.500000000029</v>
      </c>
      <c r="C14" s="31">
        <v>86599.4</v>
      </c>
      <c r="D14" s="31"/>
      <c r="E14" s="31">
        <f t="shared" si="4"/>
        <v>165716.90000000002</v>
      </c>
      <c r="F14" s="31">
        <v>181494.5</v>
      </c>
      <c r="G14" s="31">
        <v>35951.5</v>
      </c>
      <c r="H14" s="31" t="s">
        <v>2</v>
      </c>
      <c r="I14" s="31">
        <v>6763.1</v>
      </c>
      <c r="J14" s="32" t="s">
        <v>2</v>
      </c>
      <c r="K14" s="32" t="s">
        <v>2</v>
      </c>
      <c r="L14" s="33">
        <f t="shared" si="0"/>
        <v>224209.1</v>
      </c>
      <c r="M14" s="34">
        <v>100261.9</v>
      </c>
      <c r="N14" s="31">
        <v>9613.6999999999989</v>
      </c>
      <c r="O14" s="33">
        <f t="shared" si="1"/>
        <v>114333.50000000001</v>
      </c>
      <c r="P14" s="31">
        <v>30283.5</v>
      </c>
      <c r="Q14" s="31">
        <v>249193.1</v>
      </c>
      <c r="R14" s="33">
        <v>90.899999999999991</v>
      </c>
      <c r="S14" s="31">
        <f t="shared" si="5"/>
        <v>279567.5</v>
      </c>
      <c r="T14" s="35">
        <f t="shared" si="2"/>
        <v>393901</v>
      </c>
      <c r="U14" s="31">
        <f t="shared" si="3"/>
        <v>559617.9</v>
      </c>
    </row>
    <row r="15" spans="1:21" s="37" customFormat="1" ht="15.75">
      <c r="A15" s="30">
        <v>39692</v>
      </c>
      <c r="B15" s="31">
        <v>75833.299999999959</v>
      </c>
      <c r="C15" s="31">
        <v>106593.50000000003</v>
      </c>
      <c r="D15" s="31"/>
      <c r="E15" s="31">
        <f t="shared" si="4"/>
        <v>182426.8</v>
      </c>
      <c r="F15" s="31">
        <v>167686.39999999999</v>
      </c>
      <c r="G15" s="31">
        <v>44061</v>
      </c>
      <c r="H15" s="31" t="s">
        <v>2</v>
      </c>
      <c r="I15" s="31">
        <v>7787.3</v>
      </c>
      <c r="J15" s="32" t="s">
        <v>2</v>
      </c>
      <c r="K15" s="32" t="s">
        <v>2</v>
      </c>
      <c r="L15" s="33">
        <f t="shared" si="0"/>
        <v>219534.69999999998</v>
      </c>
      <c r="M15" s="34">
        <v>100053.9</v>
      </c>
      <c r="N15" s="31">
        <v>9456.2000000000007</v>
      </c>
      <c r="O15" s="33">
        <f t="shared" si="1"/>
        <v>110024.59999999999</v>
      </c>
      <c r="P15" s="31">
        <v>31552.799999999999</v>
      </c>
      <c r="Q15" s="31">
        <v>254099.09999999998</v>
      </c>
      <c r="R15" s="33">
        <v>93</v>
      </c>
      <c r="S15" s="31">
        <f t="shared" si="5"/>
        <v>285744.89999999997</v>
      </c>
      <c r="T15" s="35">
        <f t="shared" si="2"/>
        <v>395769.49999999994</v>
      </c>
      <c r="U15" s="31">
        <f t="shared" si="3"/>
        <v>578196.29999999993</v>
      </c>
    </row>
    <row r="16" spans="1:21" s="37" customFormat="1" ht="15.75">
      <c r="A16" s="30">
        <v>39722</v>
      </c>
      <c r="B16" s="31">
        <v>95303.6</v>
      </c>
      <c r="C16" s="31">
        <v>96499.799999999988</v>
      </c>
      <c r="D16" s="31"/>
      <c r="E16" s="31">
        <f t="shared" si="4"/>
        <v>191803.4</v>
      </c>
      <c r="F16" s="31">
        <v>161646.39999999999</v>
      </c>
      <c r="G16" s="31">
        <v>43061</v>
      </c>
      <c r="H16" s="31" t="s">
        <v>2</v>
      </c>
      <c r="I16" s="31">
        <v>7537.4000000000005</v>
      </c>
      <c r="J16" s="32" t="s">
        <v>2</v>
      </c>
      <c r="K16" s="32" t="s">
        <v>2</v>
      </c>
      <c r="L16" s="33">
        <f t="shared" si="0"/>
        <v>212244.8</v>
      </c>
      <c r="M16" s="34">
        <v>101928.7</v>
      </c>
      <c r="N16" s="31">
        <v>11011.5</v>
      </c>
      <c r="O16" s="33">
        <f t="shared" si="1"/>
        <v>99304.599999999991</v>
      </c>
      <c r="P16" s="31">
        <v>27717.1</v>
      </c>
      <c r="Q16" s="31">
        <v>268878.59999999998</v>
      </c>
      <c r="R16" s="33">
        <v>129.9</v>
      </c>
      <c r="S16" s="31">
        <f t="shared" si="5"/>
        <v>296725.59999999998</v>
      </c>
      <c r="T16" s="35">
        <f t="shared" si="2"/>
        <v>396030.19999999995</v>
      </c>
      <c r="U16" s="31">
        <f t="shared" si="3"/>
        <v>587833.59999999998</v>
      </c>
    </row>
    <row r="17" spans="1:21" s="37" customFormat="1" ht="15.75">
      <c r="A17" s="30">
        <v>39753</v>
      </c>
      <c r="B17" s="31">
        <v>107336.39999999994</v>
      </c>
      <c r="C17" s="31">
        <v>99747.400000000023</v>
      </c>
      <c r="D17" s="31"/>
      <c r="E17" s="31">
        <f t="shared" si="4"/>
        <v>207083.79999999996</v>
      </c>
      <c r="F17" s="31">
        <v>146839.90000000002</v>
      </c>
      <c r="G17" s="31">
        <v>49561</v>
      </c>
      <c r="H17" s="31" t="s">
        <v>2</v>
      </c>
      <c r="I17" s="31">
        <v>7407</v>
      </c>
      <c r="J17" s="32" t="s">
        <v>2</v>
      </c>
      <c r="K17" s="32" t="s">
        <v>2</v>
      </c>
      <c r="L17" s="33">
        <f t="shared" si="0"/>
        <v>203807.90000000002</v>
      </c>
      <c r="M17" s="34">
        <v>100314.5</v>
      </c>
      <c r="N17" s="31">
        <v>9960.7000000000007</v>
      </c>
      <c r="O17" s="33">
        <f t="shared" si="1"/>
        <v>93532.700000000026</v>
      </c>
      <c r="P17" s="31">
        <v>24662.6</v>
      </c>
      <c r="Q17" s="31">
        <v>267453.30000000005</v>
      </c>
      <c r="R17" s="33">
        <v>126.60000000000001</v>
      </c>
      <c r="S17" s="31">
        <f t="shared" si="5"/>
        <v>292242.5</v>
      </c>
      <c r="T17" s="35">
        <f t="shared" si="2"/>
        <v>385775.2</v>
      </c>
      <c r="U17" s="31">
        <f t="shared" si="3"/>
        <v>592859</v>
      </c>
    </row>
    <row r="18" spans="1:21" s="37" customFormat="1" ht="15.75">
      <c r="A18" s="30">
        <v>39783</v>
      </c>
      <c r="B18" s="31">
        <v>159092.20000000007</v>
      </c>
      <c r="C18" s="31">
        <v>95759.5</v>
      </c>
      <c r="D18" s="31"/>
      <c r="E18" s="31">
        <f t="shared" si="4"/>
        <v>254851.70000000007</v>
      </c>
      <c r="F18" s="31">
        <v>170798.9</v>
      </c>
      <c r="G18" s="31">
        <v>58561</v>
      </c>
      <c r="H18" s="31" t="s">
        <v>2</v>
      </c>
      <c r="I18" s="31">
        <v>9544.5</v>
      </c>
      <c r="J18" s="32" t="s">
        <v>2</v>
      </c>
      <c r="K18" s="32" t="s">
        <v>2</v>
      </c>
      <c r="L18" s="33">
        <f t="shared" si="0"/>
        <v>238904.4</v>
      </c>
      <c r="M18" s="34">
        <v>125831.59999999999</v>
      </c>
      <c r="N18" s="31">
        <v>11736.2</v>
      </c>
      <c r="O18" s="33">
        <f t="shared" si="1"/>
        <v>101336.6</v>
      </c>
      <c r="P18" s="31">
        <v>21927.199999999997</v>
      </c>
      <c r="Q18" s="31">
        <v>261749.50000000003</v>
      </c>
      <c r="R18" s="33">
        <v>120.8</v>
      </c>
      <c r="S18" s="31">
        <f t="shared" si="5"/>
        <v>283797.5</v>
      </c>
      <c r="T18" s="35">
        <f t="shared" si="2"/>
        <v>385134.1</v>
      </c>
      <c r="U18" s="31">
        <f t="shared" si="3"/>
        <v>639985.80000000005</v>
      </c>
    </row>
    <row r="19" spans="1:21" s="37" customFormat="1" ht="15.75">
      <c r="A19" s="30">
        <v>39814</v>
      </c>
      <c r="B19" s="31">
        <v>141369.9</v>
      </c>
      <c r="C19" s="31">
        <v>88477.799999999988</v>
      </c>
      <c r="D19" s="31"/>
      <c r="E19" s="31">
        <f t="shared" si="4"/>
        <v>229847.69999999998</v>
      </c>
      <c r="F19" s="31">
        <v>148190.5</v>
      </c>
      <c r="G19" s="31">
        <v>55061</v>
      </c>
      <c r="H19" s="31" t="s">
        <v>2</v>
      </c>
      <c r="I19" s="31">
        <v>7472.2</v>
      </c>
      <c r="J19" s="32" t="s">
        <v>2</v>
      </c>
      <c r="K19" s="32" t="s">
        <v>2</v>
      </c>
      <c r="L19" s="33">
        <f t="shared" si="0"/>
        <v>210723.7</v>
      </c>
      <c r="M19" s="34">
        <v>107241.29999999999</v>
      </c>
      <c r="N19" s="31">
        <v>11146.4</v>
      </c>
      <c r="O19" s="33">
        <f t="shared" si="1"/>
        <v>92336.000000000029</v>
      </c>
      <c r="P19" s="31">
        <v>19781.399999999998</v>
      </c>
      <c r="Q19" s="31">
        <v>262133.40000000002</v>
      </c>
      <c r="R19" s="33">
        <v>116.7</v>
      </c>
      <c r="S19" s="31">
        <f t="shared" si="5"/>
        <v>282031.50000000006</v>
      </c>
      <c r="T19" s="35">
        <f t="shared" si="2"/>
        <v>374367.50000000012</v>
      </c>
      <c r="U19" s="31">
        <f t="shared" si="3"/>
        <v>604215.20000000007</v>
      </c>
    </row>
    <row r="20" spans="1:21" s="37" customFormat="1" ht="15.75">
      <c r="A20" s="30">
        <v>39845</v>
      </c>
      <c r="B20" s="31">
        <v>125265.90000000002</v>
      </c>
      <c r="C20" s="31">
        <v>89948.099999999977</v>
      </c>
      <c r="D20" s="31"/>
      <c r="E20" s="31">
        <f t="shared" si="4"/>
        <v>215214</v>
      </c>
      <c r="F20" s="31">
        <v>154147.90000000002</v>
      </c>
      <c r="G20" s="31">
        <v>62061</v>
      </c>
      <c r="H20" s="31" t="s">
        <v>2</v>
      </c>
      <c r="I20" s="31">
        <v>7189.7</v>
      </c>
      <c r="J20" s="32" t="s">
        <v>2</v>
      </c>
      <c r="K20" s="32" t="s">
        <v>2</v>
      </c>
      <c r="L20" s="33">
        <f t="shared" si="0"/>
        <v>223398.60000000003</v>
      </c>
      <c r="M20" s="34">
        <v>104477.63200000001</v>
      </c>
      <c r="N20" s="31">
        <v>13227.599999999999</v>
      </c>
      <c r="O20" s="33">
        <f t="shared" si="1"/>
        <v>105693.36800000002</v>
      </c>
      <c r="P20" s="31">
        <v>15991.599999999999</v>
      </c>
      <c r="Q20" s="31">
        <v>265166.90000000002</v>
      </c>
      <c r="R20" s="33">
        <v>130.70000000000002</v>
      </c>
      <c r="S20" s="31">
        <f t="shared" si="5"/>
        <v>281289.2</v>
      </c>
      <c r="T20" s="35">
        <f t="shared" si="2"/>
        <v>386982.56800000003</v>
      </c>
      <c r="U20" s="31">
        <f t="shared" si="3"/>
        <v>602196.56799999997</v>
      </c>
    </row>
    <row r="21" spans="1:21" s="37" customFormat="1" ht="15.75">
      <c r="A21" s="30">
        <v>39873</v>
      </c>
      <c r="B21" s="31">
        <v>105784.50000000003</v>
      </c>
      <c r="C21" s="31">
        <v>92328.9</v>
      </c>
      <c r="D21" s="31"/>
      <c r="E21" s="31">
        <f t="shared" si="4"/>
        <v>198113.40000000002</v>
      </c>
      <c r="F21" s="31">
        <v>157525.1</v>
      </c>
      <c r="G21" s="31">
        <v>66253.7</v>
      </c>
      <c r="H21" s="31" t="s">
        <v>2</v>
      </c>
      <c r="I21" s="31">
        <v>6953.7</v>
      </c>
      <c r="J21" s="32" t="s">
        <v>2</v>
      </c>
      <c r="K21" s="32" t="s">
        <v>2</v>
      </c>
      <c r="L21" s="33">
        <f t="shared" si="0"/>
        <v>230732.5</v>
      </c>
      <c r="M21" s="34">
        <v>101779.5</v>
      </c>
      <c r="N21" s="31">
        <v>10745.9</v>
      </c>
      <c r="O21" s="33">
        <f t="shared" si="1"/>
        <v>118207.1</v>
      </c>
      <c r="P21" s="31">
        <v>12695.3</v>
      </c>
      <c r="Q21" s="31">
        <v>273015.60000000003</v>
      </c>
      <c r="R21" s="33">
        <v>126.7</v>
      </c>
      <c r="S21" s="31">
        <f t="shared" si="5"/>
        <v>285837.60000000003</v>
      </c>
      <c r="T21" s="35">
        <f t="shared" si="2"/>
        <v>404044.70000000007</v>
      </c>
      <c r="U21" s="31">
        <f t="shared" si="3"/>
        <v>602158.10000000009</v>
      </c>
    </row>
    <row r="22" spans="1:21" s="37" customFormat="1" ht="15.75">
      <c r="A22" s="30">
        <v>39904</v>
      </c>
      <c r="B22" s="31">
        <v>90877.500000000029</v>
      </c>
      <c r="C22" s="31">
        <v>89777.400000000023</v>
      </c>
      <c r="D22" s="31"/>
      <c r="E22" s="31">
        <f t="shared" si="4"/>
        <v>180654.90000000005</v>
      </c>
      <c r="F22" s="31">
        <v>163693.70000000001</v>
      </c>
      <c r="G22" s="31">
        <v>66353.7</v>
      </c>
      <c r="H22" s="31" t="s">
        <v>2</v>
      </c>
      <c r="I22" s="31">
        <v>9039.1</v>
      </c>
      <c r="J22" s="32" t="s">
        <v>2</v>
      </c>
      <c r="K22" s="32" t="s">
        <v>2</v>
      </c>
      <c r="L22" s="33">
        <f t="shared" si="0"/>
        <v>239086.50000000003</v>
      </c>
      <c r="M22" s="34">
        <v>93895.6</v>
      </c>
      <c r="N22" s="31">
        <v>11639.400000000003</v>
      </c>
      <c r="O22" s="33">
        <f t="shared" si="1"/>
        <v>133551.50000000003</v>
      </c>
      <c r="P22" s="31">
        <v>11258.4</v>
      </c>
      <c r="Q22" s="31">
        <v>275860</v>
      </c>
      <c r="R22" s="33">
        <v>152.1</v>
      </c>
      <c r="S22" s="31">
        <f t="shared" si="5"/>
        <v>287270.5</v>
      </c>
      <c r="T22" s="35">
        <f t="shared" si="2"/>
        <v>420822</v>
      </c>
      <c r="U22" s="31">
        <f t="shared" si="3"/>
        <v>601476.9</v>
      </c>
    </row>
    <row r="23" spans="1:21" s="37" customFormat="1" ht="15.75">
      <c r="A23" s="30">
        <v>39934</v>
      </c>
      <c r="B23" s="31">
        <v>154336.40000000008</v>
      </c>
      <c r="C23" s="31">
        <v>89065.299999999988</v>
      </c>
      <c r="D23" s="31"/>
      <c r="E23" s="31">
        <f t="shared" si="4"/>
        <v>243401.70000000007</v>
      </c>
      <c r="F23" s="31">
        <v>131037.20000000001</v>
      </c>
      <c r="G23" s="31">
        <v>103194.9</v>
      </c>
      <c r="H23" s="31" t="s">
        <v>2</v>
      </c>
      <c r="I23" s="31">
        <v>6620.5999999999995</v>
      </c>
      <c r="J23" s="32" t="s">
        <v>2</v>
      </c>
      <c r="K23" s="32" t="s">
        <v>2</v>
      </c>
      <c r="L23" s="33">
        <f t="shared" si="0"/>
        <v>240852.7</v>
      </c>
      <c r="M23" s="34">
        <v>127178.00000000001</v>
      </c>
      <c r="N23" s="31">
        <v>10597.9</v>
      </c>
      <c r="O23" s="33">
        <f t="shared" si="1"/>
        <v>103076.8</v>
      </c>
      <c r="P23" s="31">
        <v>10002.6</v>
      </c>
      <c r="Q23" s="31">
        <v>280752.8</v>
      </c>
      <c r="R23" s="33">
        <v>146.30000000000001</v>
      </c>
      <c r="S23" s="31">
        <f t="shared" si="5"/>
        <v>290901.69999999995</v>
      </c>
      <c r="T23" s="35">
        <f t="shared" si="2"/>
        <v>393978.49999999994</v>
      </c>
      <c r="U23" s="31">
        <f t="shared" si="3"/>
        <v>637380.19999999995</v>
      </c>
    </row>
    <row r="24" spans="1:21" s="37" customFormat="1" ht="15.75">
      <c r="A24" s="30">
        <v>39965</v>
      </c>
      <c r="B24" s="31">
        <v>148241.89999999997</v>
      </c>
      <c r="C24" s="31">
        <v>88724.5</v>
      </c>
      <c r="D24" s="31"/>
      <c r="E24" s="31">
        <f t="shared" si="4"/>
        <v>236966.39999999997</v>
      </c>
      <c r="F24" s="31">
        <v>153145.30000000002</v>
      </c>
      <c r="G24" s="31">
        <v>100670</v>
      </c>
      <c r="H24" s="31" t="s">
        <v>2</v>
      </c>
      <c r="I24" s="31">
        <v>9624.6</v>
      </c>
      <c r="J24" s="32" t="s">
        <v>2</v>
      </c>
      <c r="K24" s="32" t="s">
        <v>2</v>
      </c>
      <c r="L24" s="33">
        <f t="shared" si="0"/>
        <v>263439.90000000002</v>
      </c>
      <c r="M24" s="34">
        <v>125026.4</v>
      </c>
      <c r="N24" s="31">
        <v>13685.099999999999</v>
      </c>
      <c r="O24" s="33">
        <f t="shared" si="1"/>
        <v>124728.40000000002</v>
      </c>
      <c r="P24" s="31">
        <v>10443.4</v>
      </c>
      <c r="Q24" s="31">
        <v>285914.39999999997</v>
      </c>
      <c r="R24" s="33">
        <v>142.10000000000002</v>
      </c>
      <c r="S24" s="31">
        <f t="shared" si="5"/>
        <v>296499.89999999997</v>
      </c>
      <c r="T24" s="35">
        <f t="shared" si="2"/>
        <v>421228.3</v>
      </c>
      <c r="U24" s="31">
        <f t="shared" si="3"/>
        <v>658194.69999999995</v>
      </c>
    </row>
    <row r="25" spans="1:21" s="37" customFormat="1" ht="15.75">
      <c r="A25" s="30">
        <v>39995</v>
      </c>
      <c r="B25" s="31">
        <v>132152.60000000003</v>
      </c>
      <c r="C25" s="31">
        <v>87512.499999999985</v>
      </c>
      <c r="D25" s="31"/>
      <c r="E25" s="31">
        <f t="shared" si="4"/>
        <v>219665.10000000003</v>
      </c>
      <c r="F25" s="31">
        <v>147058</v>
      </c>
      <c r="G25" s="31">
        <v>106002.2</v>
      </c>
      <c r="H25" s="31" t="s">
        <v>2</v>
      </c>
      <c r="I25" s="31">
        <v>6644.5</v>
      </c>
      <c r="J25" s="32" t="s">
        <v>2</v>
      </c>
      <c r="K25" s="32" t="s">
        <v>2</v>
      </c>
      <c r="L25" s="33">
        <f t="shared" si="0"/>
        <v>259704.7</v>
      </c>
      <c r="M25" s="34">
        <v>115641</v>
      </c>
      <c r="N25" s="31">
        <v>12756.2</v>
      </c>
      <c r="O25" s="33">
        <f t="shared" si="1"/>
        <v>131307.5</v>
      </c>
      <c r="P25" s="31">
        <v>14183.899999999998</v>
      </c>
      <c r="Q25" s="31">
        <v>290106.40000000002</v>
      </c>
      <c r="R25" s="33">
        <v>429.20000000000005</v>
      </c>
      <c r="S25" s="31">
        <f t="shared" si="5"/>
        <v>304719.50000000006</v>
      </c>
      <c r="T25" s="35">
        <f t="shared" si="2"/>
        <v>436027.00000000006</v>
      </c>
      <c r="U25" s="31">
        <f t="shared" si="3"/>
        <v>655692.10000000009</v>
      </c>
    </row>
    <row r="26" spans="1:21" s="37" customFormat="1" ht="15.75">
      <c r="A26" s="30">
        <v>40026</v>
      </c>
      <c r="B26" s="31">
        <v>115750.00000000003</v>
      </c>
      <c r="C26" s="31">
        <v>92033.199999999983</v>
      </c>
      <c r="D26" s="31"/>
      <c r="E26" s="31">
        <f t="shared" si="4"/>
        <v>207783.2</v>
      </c>
      <c r="F26" s="31">
        <v>156341.6</v>
      </c>
      <c r="G26" s="31">
        <v>105584.9</v>
      </c>
      <c r="H26" s="31" t="s">
        <v>2</v>
      </c>
      <c r="I26" s="31">
        <v>6352.8</v>
      </c>
      <c r="J26" s="32" t="s">
        <v>2</v>
      </c>
      <c r="K26" s="32" t="s">
        <v>2</v>
      </c>
      <c r="L26" s="33">
        <f t="shared" si="0"/>
        <v>268279.3</v>
      </c>
      <c r="M26" s="34">
        <v>110373.8</v>
      </c>
      <c r="N26" s="31">
        <v>11905</v>
      </c>
      <c r="O26" s="33">
        <f t="shared" si="1"/>
        <v>146000.5</v>
      </c>
      <c r="P26" s="31">
        <v>16355.099999999999</v>
      </c>
      <c r="Q26" s="31">
        <v>291438.90000000002</v>
      </c>
      <c r="R26" s="33">
        <v>405.20000000000005</v>
      </c>
      <c r="S26" s="31">
        <f t="shared" si="5"/>
        <v>308199.2</v>
      </c>
      <c r="T26" s="35">
        <f t="shared" si="2"/>
        <v>454199.7</v>
      </c>
      <c r="U26" s="31">
        <f t="shared" si="3"/>
        <v>661982.9</v>
      </c>
    </row>
    <row r="27" spans="1:21" s="37" customFormat="1" ht="15.75">
      <c r="A27" s="30">
        <v>40057</v>
      </c>
      <c r="B27" s="31">
        <v>133943.70000000004</v>
      </c>
      <c r="C27" s="31">
        <v>88222.400000000009</v>
      </c>
      <c r="D27" s="31"/>
      <c r="E27" s="31">
        <f t="shared" si="4"/>
        <v>222166.10000000003</v>
      </c>
      <c r="F27" s="31">
        <v>138074.1</v>
      </c>
      <c r="G27" s="31">
        <v>111702.90000000001</v>
      </c>
      <c r="H27" s="31" t="s">
        <v>2</v>
      </c>
      <c r="I27" s="31">
        <v>6331.8</v>
      </c>
      <c r="J27" s="32" t="s">
        <v>2</v>
      </c>
      <c r="K27" s="32" t="s">
        <v>2</v>
      </c>
      <c r="L27" s="33">
        <f t="shared" si="0"/>
        <v>256108.79999999999</v>
      </c>
      <c r="M27" s="34">
        <v>103935.40000000001</v>
      </c>
      <c r="N27" s="31">
        <v>13697.7</v>
      </c>
      <c r="O27" s="33">
        <f t="shared" si="1"/>
        <v>138475.69999999995</v>
      </c>
      <c r="P27" s="31">
        <v>13712.800000000001</v>
      </c>
      <c r="Q27" s="31">
        <v>303197.90000000002</v>
      </c>
      <c r="R27" s="33">
        <v>396.70000000000005</v>
      </c>
      <c r="S27" s="31">
        <f t="shared" si="5"/>
        <v>317307.40000000002</v>
      </c>
      <c r="T27" s="35">
        <f t="shared" si="2"/>
        <v>455783.1</v>
      </c>
      <c r="U27" s="31">
        <f t="shared" si="3"/>
        <v>677949.2</v>
      </c>
    </row>
    <row r="28" spans="1:21" s="37" customFormat="1" ht="15.75">
      <c r="A28" s="30">
        <v>40087</v>
      </c>
      <c r="B28" s="31">
        <v>129014.59999999998</v>
      </c>
      <c r="C28" s="31">
        <v>87002.4</v>
      </c>
      <c r="D28" s="31"/>
      <c r="E28" s="31">
        <f t="shared" si="4"/>
        <v>216016.99999999997</v>
      </c>
      <c r="F28" s="31">
        <v>148531</v>
      </c>
      <c r="G28" s="31">
        <v>113360.5</v>
      </c>
      <c r="H28" s="31" t="s">
        <v>2</v>
      </c>
      <c r="I28" s="31">
        <v>6576.2</v>
      </c>
      <c r="J28" s="32" t="s">
        <v>2</v>
      </c>
      <c r="K28" s="32" t="s">
        <v>2</v>
      </c>
      <c r="L28" s="33">
        <f t="shared" si="0"/>
        <v>268467.7</v>
      </c>
      <c r="M28" s="34">
        <v>104063.5</v>
      </c>
      <c r="N28" s="31">
        <v>15167.399999999998</v>
      </c>
      <c r="O28" s="33">
        <f t="shared" si="1"/>
        <v>149236.80000000002</v>
      </c>
      <c r="P28" s="31">
        <v>12242.300000000001</v>
      </c>
      <c r="Q28" s="31">
        <v>310656.40000000008</v>
      </c>
      <c r="R28" s="33">
        <v>295.3</v>
      </c>
      <c r="S28" s="31">
        <f t="shared" si="5"/>
        <v>323194.00000000006</v>
      </c>
      <c r="T28" s="35">
        <f t="shared" si="2"/>
        <v>472430.80000000005</v>
      </c>
      <c r="U28" s="31">
        <f t="shared" si="3"/>
        <v>688447.8</v>
      </c>
    </row>
    <row r="29" spans="1:21" s="37" customFormat="1" ht="15.75">
      <c r="A29" s="30">
        <v>40118</v>
      </c>
      <c r="B29" s="31">
        <v>120358.70000000001</v>
      </c>
      <c r="C29" s="31">
        <v>92642.1</v>
      </c>
      <c r="D29" s="31"/>
      <c r="E29" s="31">
        <f t="shared" si="4"/>
        <v>213000.80000000002</v>
      </c>
      <c r="F29" s="31">
        <v>174575.8</v>
      </c>
      <c r="G29" s="31">
        <v>101650.3</v>
      </c>
      <c r="H29" s="31" t="s">
        <v>2</v>
      </c>
      <c r="I29" s="31">
        <v>6466</v>
      </c>
      <c r="J29" s="32" t="s">
        <v>2</v>
      </c>
      <c r="K29" s="32" t="s">
        <v>2</v>
      </c>
      <c r="L29" s="33">
        <f t="shared" si="0"/>
        <v>282692.09999999998</v>
      </c>
      <c r="M29" s="34">
        <v>123845.3</v>
      </c>
      <c r="N29" s="31">
        <v>15123.200000000003</v>
      </c>
      <c r="O29" s="33">
        <f t="shared" si="1"/>
        <v>143723.59999999998</v>
      </c>
      <c r="P29" s="31">
        <v>9760.8999999999978</v>
      </c>
      <c r="Q29" s="31">
        <v>323284.70000000007</v>
      </c>
      <c r="R29" s="33">
        <v>277</v>
      </c>
      <c r="S29" s="31">
        <f t="shared" si="5"/>
        <v>333322.60000000009</v>
      </c>
      <c r="T29" s="35">
        <f t="shared" si="2"/>
        <v>477046.20000000007</v>
      </c>
      <c r="U29" s="31">
        <f t="shared" si="3"/>
        <v>690047.00000000012</v>
      </c>
    </row>
    <row r="30" spans="1:21" s="37" customFormat="1" ht="15.75">
      <c r="A30" s="30">
        <v>40148</v>
      </c>
      <c r="B30" s="31">
        <v>144966.20000000007</v>
      </c>
      <c r="C30" s="31">
        <v>119531.40000000002</v>
      </c>
      <c r="D30" s="31"/>
      <c r="E30" s="31">
        <f t="shared" si="4"/>
        <v>264497.60000000009</v>
      </c>
      <c r="F30" s="31">
        <v>215622.30000000002</v>
      </c>
      <c r="G30" s="31">
        <v>100072.8</v>
      </c>
      <c r="H30" s="31" t="s">
        <v>2</v>
      </c>
      <c r="I30" s="31">
        <v>11255.3</v>
      </c>
      <c r="J30" s="32" t="s">
        <v>2</v>
      </c>
      <c r="K30" s="32" t="s">
        <v>2</v>
      </c>
      <c r="L30" s="33">
        <f t="shared" si="0"/>
        <v>326950.40000000002</v>
      </c>
      <c r="M30" s="34">
        <v>133925.09999999998</v>
      </c>
      <c r="N30" s="31">
        <v>14842.5</v>
      </c>
      <c r="O30" s="33">
        <f t="shared" si="1"/>
        <v>178182.80000000005</v>
      </c>
      <c r="P30" s="31">
        <v>8440.7000000000007</v>
      </c>
      <c r="Q30" s="31">
        <v>321233.5</v>
      </c>
      <c r="R30" s="33">
        <v>497.1</v>
      </c>
      <c r="S30" s="31">
        <f t="shared" si="5"/>
        <v>330171.3</v>
      </c>
      <c r="T30" s="35">
        <f t="shared" si="2"/>
        <v>508354.10000000003</v>
      </c>
      <c r="U30" s="31">
        <f t="shared" si="3"/>
        <v>772851.70000000019</v>
      </c>
    </row>
    <row r="31" spans="1:21" s="37" customFormat="1" ht="15.75">
      <c r="A31" s="30">
        <v>40179</v>
      </c>
      <c r="B31" s="31">
        <v>153042.50000000006</v>
      </c>
      <c r="C31" s="31">
        <v>117804.09999999999</v>
      </c>
      <c r="D31" s="31"/>
      <c r="E31" s="31">
        <f t="shared" si="4"/>
        <v>270846.60000000003</v>
      </c>
      <c r="F31" s="31">
        <v>161824.1</v>
      </c>
      <c r="G31" s="31">
        <v>99123.8</v>
      </c>
      <c r="H31" s="31" t="s">
        <v>2</v>
      </c>
      <c r="I31" s="31">
        <v>9359.6999999999989</v>
      </c>
      <c r="J31" s="31">
        <v>6525</v>
      </c>
      <c r="K31" s="31" t="s">
        <v>2</v>
      </c>
      <c r="L31" s="33">
        <f t="shared" si="0"/>
        <v>276832.60000000003</v>
      </c>
      <c r="M31" s="34">
        <v>135087.70000000001</v>
      </c>
      <c r="N31" s="31">
        <v>12646.6</v>
      </c>
      <c r="O31" s="33">
        <f t="shared" si="1"/>
        <v>129098.30000000002</v>
      </c>
      <c r="P31" s="31">
        <v>6768.0999999999995</v>
      </c>
      <c r="Q31" s="31">
        <v>323617.89999999997</v>
      </c>
      <c r="R31" s="33">
        <v>363.6</v>
      </c>
      <c r="S31" s="31">
        <f t="shared" si="5"/>
        <v>330749.59999999992</v>
      </c>
      <c r="T31" s="35">
        <f t="shared" si="2"/>
        <v>459847.89999999991</v>
      </c>
      <c r="U31" s="31">
        <f t="shared" si="3"/>
        <v>730694.5</v>
      </c>
    </row>
    <row r="32" spans="1:21" s="37" customFormat="1" ht="15.75">
      <c r="A32" s="30">
        <v>40210</v>
      </c>
      <c r="B32" s="31">
        <v>150227.50000000003</v>
      </c>
      <c r="C32" s="31">
        <v>122034.5</v>
      </c>
      <c r="D32" s="31"/>
      <c r="E32" s="31">
        <f t="shared" si="4"/>
        <v>272262</v>
      </c>
      <c r="F32" s="31">
        <v>171434.6</v>
      </c>
      <c r="G32" s="31">
        <v>99350.599999999991</v>
      </c>
      <c r="H32" s="31" t="s">
        <v>2</v>
      </c>
      <c r="I32" s="31">
        <v>9111</v>
      </c>
      <c r="J32" s="31">
        <v>6525</v>
      </c>
      <c r="K32" s="31" t="s">
        <v>2</v>
      </c>
      <c r="L32" s="33">
        <f t="shared" si="0"/>
        <v>286421.2</v>
      </c>
      <c r="M32" s="34">
        <v>145525.6</v>
      </c>
      <c r="N32" s="31">
        <v>14153.599999999999</v>
      </c>
      <c r="O32" s="33">
        <f t="shared" si="1"/>
        <v>126742</v>
      </c>
      <c r="P32" s="31">
        <v>6538.1</v>
      </c>
      <c r="Q32" s="31">
        <v>334217.7</v>
      </c>
      <c r="R32" s="33">
        <v>457.29999999999995</v>
      </c>
      <c r="S32" s="31">
        <f t="shared" si="5"/>
        <v>341213.1</v>
      </c>
      <c r="T32" s="35">
        <f t="shared" si="2"/>
        <v>467955.1</v>
      </c>
      <c r="U32" s="31">
        <f t="shared" si="3"/>
        <v>740217.1</v>
      </c>
    </row>
    <row r="33" spans="1:21" s="37" customFormat="1" ht="15.75">
      <c r="A33" s="30">
        <v>40238</v>
      </c>
      <c r="B33" s="31">
        <v>136213.69999999992</v>
      </c>
      <c r="C33" s="31">
        <v>122176.10000000003</v>
      </c>
      <c r="D33" s="31"/>
      <c r="E33" s="31">
        <f t="shared" si="4"/>
        <v>258389.79999999996</v>
      </c>
      <c r="F33" s="31">
        <v>154941.59999999998</v>
      </c>
      <c r="G33" s="31">
        <v>114821.4</v>
      </c>
      <c r="H33" s="31" t="s">
        <v>2</v>
      </c>
      <c r="I33" s="31">
        <v>8598.3000000000011</v>
      </c>
      <c r="J33" s="31">
        <v>18525</v>
      </c>
      <c r="K33" s="31" t="s">
        <v>2</v>
      </c>
      <c r="L33" s="33">
        <f t="shared" si="0"/>
        <v>296886.3</v>
      </c>
      <c r="M33" s="34">
        <v>137174.40000000002</v>
      </c>
      <c r="N33" s="31">
        <v>15411</v>
      </c>
      <c r="O33" s="33">
        <f t="shared" si="1"/>
        <v>144300.89999999997</v>
      </c>
      <c r="P33" s="31">
        <v>6418.5000000000009</v>
      </c>
      <c r="Q33" s="31">
        <v>342239.60000000003</v>
      </c>
      <c r="R33" s="33">
        <v>462.8</v>
      </c>
      <c r="S33" s="31">
        <f t="shared" si="5"/>
        <v>349120.9</v>
      </c>
      <c r="T33" s="35">
        <f t="shared" si="2"/>
        <v>493421.8</v>
      </c>
      <c r="U33" s="31">
        <f t="shared" si="3"/>
        <v>751811.6</v>
      </c>
    </row>
    <row r="34" spans="1:21" s="37" customFormat="1" ht="15.75">
      <c r="A34" s="30">
        <v>40269</v>
      </c>
      <c r="B34" s="31">
        <v>124940.20000000007</v>
      </c>
      <c r="C34" s="31">
        <v>108840.40000000002</v>
      </c>
      <c r="D34" s="31"/>
      <c r="E34" s="31">
        <f t="shared" si="4"/>
        <v>233780.60000000009</v>
      </c>
      <c r="F34" s="31">
        <v>45521.4</v>
      </c>
      <c r="G34" s="31">
        <v>73152.899999999994</v>
      </c>
      <c r="H34" s="31" t="s">
        <v>2</v>
      </c>
      <c r="I34" s="31">
        <v>8719.1</v>
      </c>
      <c r="J34" s="31">
        <v>18525</v>
      </c>
      <c r="K34" s="31">
        <v>147596</v>
      </c>
      <c r="L34" s="33">
        <f t="shared" si="0"/>
        <v>293514.40000000002</v>
      </c>
      <c r="M34" s="34">
        <v>121214.40000000002</v>
      </c>
      <c r="N34" s="31">
        <v>15187.500000000004</v>
      </c>
      <c r="O34" s="33">
        <f t="shared" si="1"/>
        <v>157112.5</v>
      </c>
      <c r="P34" s="31">
        <v>6268.5</v>
      </c>
      <c r="Q34" s="31">
        <v>349366.80000000005</v>
      </c>
      <c r="R34" s="33">
        <v>429.1</v>
      </c>
      <c r="S34" s="31">
        <f t="shared" si="5"/>
        <v>356064.4</v>
      </c>
      <c r="T34" s="35">
        <f t="shared" si="2"/>
        <v>513176.9</v>
      </c>
      <c r="U34" s="31">
        <f t="shared" si="3"/>
        <v>746957.50000000012</v>
      </c>
    </row>
    <row r="35" spans="1:21" s="37" customFormat="1" ht="15.75">
      <c r="A35" s="30">
        <v>40299</v>
      </c>
      <c r="B35" s="31">
        <v>110538.00000000006</v>
      </c>
      <c r="C35" s="31">
        <v>100611.79999999999</v>
      </c>
      <c r="D35" s="31"/>
      <c r="E35" s="31">
        <f t="shared" si="4"/>
        <v>211149.80000000005</v>
      </c>
      <c r="F35" s="31">
        <v>24665.8</v>
      </c>
      <c r="G35" s="31">
        <v>86658.5</v>
      </c>
      <c r="H35" s="31" t="s">
        <v>2</v>
      </c>
      <c r="I35" s="31">
        <v>7955.0999999999995</v>
      </c>
      <c r="J35" s="31">
        <v>18525</v>
      </c>
      <c r="K35" s="31">
        <v>147287.9</v>
      </c>
      <c r="L35" s="33">
        <f t="shared" si="0"/>
        <v>285092.30000000005</v>
      </c>
      <c r="M35" s="34">
        <v>109438.09999999999</v>
      </c>
      <c r="N35" s="31">
        <v>14048.7</v>
      </c>
      <c r="O35" s="33">
        <f t="shared" si="1"/>
        <v>161605.50000000006</v>
      </c>
      <c r="P35" s="31">
        <v>8259.9</v>
      </c>
      <c r="Q35" s="31">
        <v>354485.49999999994</v>
      </c>
      <c r="R35" s="33">
        <v>595.79999999999995</v>
      </c>
      <c r="S35" s="31">
        <f t="shared" si="5"/>
        <v>363341.19999999995</v>
      </c>
      <c r="T35" s="35">
        <f t="shared" si="2"/>
        <v>524946.69999999995</v>
      </c>
      <c r="U35" s="31">
        <f t="shared" si="3"/>
        <v>736096.5</v>
      </c>
    </row>
    <row r="36" spans="1:21" s="37" customFormat="1" ht="15.75">
      <c r="A36" s="30">
        <v>40330</v>
      </c>
      <c r="B36" s="31">
        <v>94137.999999999971</v>
      </c>
      <c r="C36" s="31">
        <v>102210.99999999997</v>
      </c>
      <c r="D36" s="31"/>
      <c r="E36" s="31">
        <f t="shared" si="4"/>
        <v>196348.99999999994</v>
      </c>
      <c r="F36" s="31">
        <v>33331.199999999997</v>
      </c>
      <c r="G36" s="31">
        <v>79001.5</v>
      </c>
      <c r="H36" s="31" t="s">
        <v>2</v>
      </c>
      <c r="I36" s="31">
        <v>9787.6999999999989</v>
      </c>
      <c r="J36" s="31">
        <v>40525</v>
      </c>
      <c r="K36" s="31">
        <v>146979.70000000001</v>
      </c>
      <c r="L36" s="33">
        <f t="shared" si="0"/>
        <v>309625.09999999998</v>
      </c>
      <c r="M36" s="34">
        <v>114248.4</v>
      </c>
      <c r="N36" s="31">
        <v>15094.000000000002</v>
      </c>
      <c r="O36" s="33">
        <f t="shared" si="1"/>
        <v>180282.69999999998</v>
      </c>
      <c r="P36" s="31">
        <v>9789</v>
      </c>
      <c r="Q36" s="31">
        <v>378377.39999999997</v>
      </c>
      <c r="R36" s="33">
        <v>512.09999999999991</v>
      </c>
      <c r="S36" s="31">
        <f t="shared" si="5"/>
        <v>388678.49999999994</v>
      </c>
      <c r="T36" s="35">
        <f t="shared" si="2"/>
        <v>568961.19999999995</v>
      </c>
      <c r="U36" s="31">
        <f t="shared" si="3"/>
        <v>765310.2</v>
      </c>
    </row>
    <row r="37" spans="1:21" s="37" customFormat="1" ht="15.75">
      <c r="A37" s="30">
        <v>40360</v>
      </c>
      <c r="B37" s="31">
        <v>91739.900000000023</v>
      </c>
      <c r="C37" s="31">
        <v>109495.9</v>
      </c>
      <c r="D37" s="31"/>
      <c r="E37" s="31">
        <f t="shared" si="4"/>
        <v>201235.80000000002</v>
      </c>
      <c r="F37" s="31">
        <v>30261.7</v>
      </c>
      <c r="G37" s="31">
        <v>76878.5</v>
      </c>
      <c r="H37" s="31" t="s">
        <v>2</v>
      </c>
      <c r="I37" s="31">
        <v>11007.6</v>
      </c>
      <c r="J37" s="31">
        <v>50525</v>
      </c>
      <c r="K37" s="31">
        <v>146671.6</v>
      </c>
      <c r="L37" s="33">
        <f t="shared" si="0"/>
        <v>315344.40000000002</v>
      </c>
      <c r="M37" s="34">
        <v>104308.1</v>
      </c>
      <c r="N37" s="31">
        <v>17832.2</v>
      </c>
      <c r="O37" s="33">
        <f t="shared" si="1"/>
        <v>193204.1</v>
      </c>
      <c r="P37" s="31">
        <v>24237.7</v>
      </c>
      <c r="Q37" s="31">
        <v>380861.39999999997</v>
      </c>
      <c r="R37" s="33">
        <v>677.2</v>
      </c>
      <c r="S37" s="31">
        <f t="shared" si="5"/>
        <v>405776.3</v>
      </c>
      <c r="T37" s="35">
        <f t="shared" si="2"/>
        <v>598980.4</v>
      </c>
      <c r="U37" s="31">
        <f t="shared" si="3"/>
        <v>800216.20000000007</v>
      </c>
    </row>
    <row r="38" spans="1:21" s="37" customFormat="1" ht="15.75">
      <c r="A38" s="30">
        <v>40391</v>
      </c>
      <c r="B38" s="31">
        <v>83653</v>
      </c>
      <c r="C38" s="31">
        <v>101473.7</v>
      </c>
      <c r="D38" s="31"/>
      <c r="E38" s="31">
        <f t="shared" si="4"/>
        <v>185126.7</v>
      </c>
      <c r="F38" s="31">
        <v>37841.9</v>
      </c>
      <c r="G38" s="31">
        <v>87243</v>
      </c>
      <c r="H38" s="31" t="s">
        <v>2</v>
      </c>
      <c r="I38" s="31">
        <v>10351.299999999999</v>
      </c>
      <c r="J38" s="31">
        <v>50525</v>
      </c>
      <c r="K38" s="31">
        <v>146363.5</v>
      </c>
      <c r="L38" s="33">
        <f t="shared" si="0"/>
        <v>332324.69999999995</v>
      </c>
      <c r="M38" s="34">
        <v>116344.12</v>
      </c>
      <c r="N38" s="31">
        <v>14284.900000000001</v>
      </c>
      <c r="O38" s="33">
        <f t="shared" si="1"/>
        <v>201695.67999999996</v>
      </c>
      <c r="P38" s="31">
        <v>24172.199999999997</v>
      </c>
      <c r="Q38" s="31">
        <v>392829.59999999992</v>
      </c>
      <c r="R38" s="33">
        <v>678.59999999999991</v>
      </c>
      <c r="S38" s="31">
        <f t="shared" si="5"/>
        <v>417680.39999999991</v>
      </c>
      <c r="T38" s="35">
        <f t="shared" si="2"/>
        <v>619376.07999999984</v>
      </c>
      <c r="U38" s="31">
        <f t="shared" si="3"/>
        <v>804502.7799999998</v>
      </c>
    </row>
    <row r="39" spans="1:21" s="37" customFormat="1" ht="15.75">
      <c r="A39" s="30">
        <v>40422</v>
      </c>
      <c r="B39" s="31">
        <v>69547.100000000035</v>
      </c>
      <c r="C39" s="31">
        <v>98149.299999999988</v>
      </c>
      <c r="D39" s="31"/>
      <c r="E39" s="31">
        <f t="shared" si="4"/>
        <v>167696.40000000002</v>
      </c>
      <c r="F39" s="31">
        <v>37014.199999999997</v>
      </c>
      <c r="G39" s="31">
        <v>97609.1</v>
      </c>
      <c r="H39" s="31" t="s">
        <v>2</v>
      </c>
      <c r="I39" s="31">
        <v>9655.2999999999993</v>
      </c>
      <c r="J39" s="31">
        <v>50525</v>
      </c>
      <c r="K39" s="31">
        <v>146055.29999999999</v>
      </c>
      <c r="L39" s="33">
        <f t="shared" si="0"/>
        <v>340858.89999999997</v>
      </c>
      <c r="M39" s="34">
        <v>108989</v>
      </c>
      <c r="N39" s="31">
        <v>13247.7</v>
      </c>
      <c r="O39" s="33">
        <f t="shared" si="1"/>
        <v>218622.19999999995</v>
      </c>
      <c r="P39" s="31">
        <v>21154.600000000002</v>
      </c>
      <c r="Q39" s="31">
        <v>401374.89999999997</v>
      </c>
      <c r="R39" s="33">
        <v>647.79999999999995</v>
      </c>
      <c r="S39" s="31">
        <f t="shared" si="5"/>
        <v>423177.29999999993</v>
      </c>
      <c r="T39" s="35">
        <f t="shared" ref="T39:T93" si="6">S39+O39</f>
        <v>641799.49999999988</v>
      </c>
      <c r="U39" s="31">
        <f t="shared" ref="U39:U70" si="7">T39+E39</f>
        <v>809495.89999999991</v>
      </c>
    </row>
    <row r="40" spans="1:21" s="37" customFormat="1" ht="15.75">
      <c r="A40" s="30">
        <v>40452</v>
      </c>
      <c r="B40" s="31">
        <v>66483.800000000047</v>
      </c>
      <c r="C40" s="31">
        <v>108069.90000000001</v>
      </c>
      <c r="D40" s="31"/>
      <c r="E40" s="31">
        <f t="shared" si="4"/>
        <v>174553.70000000007</v>
      </c>
      <c r="F40" s="31">
        <v>25932</v>
      </c>
      <c r="G40" s="31">
        <v>108265.2</v>
      </c>
      <c r="H40" s="31" t="s">
        <v>2</v>
      </c>
      <c r="I40" s="31">
        <v>9619.8000000000011</v>
      </c>
      <c r="J40" s="31">
        <v>50525</v>
      </c>
      <c r="K40" s="31">
        <v>145747.20000000001</v>
      </c>
      <c r="L40" s="33">
        <f t="shared" si="0"/>
        <v>340089.2</v>
      </c>
      <c r="M40" s="34">
        <v>122944.1</v>
      </c>
      <c r="N40" s="31">
        <v>12589.2</v>
      </c>
      <c r="O40" s="33">
        <f t="shared" si="1"/>
        <v>204555.9</v>
      </c>
      <c r="P40" s="31">
        <v>17146</v>
      </c>
      <c r="Q40" s="31">
        <v>410459.6</v>
      </c>
      <c r="R40" s="33">
        <v>656.2</v>
      </c>
      <c r="S40" s="31">
        <f t="shared" si="5"/>
        <v>428261.8</v>
      </c>
      <c r="T40" s="35">
        <f t="shared" si="6"/>
        <v>632817.69999999995</v>
      </c>
      <c r="U40" s="31">
        <f t="shared" si="7"/>
        <v>807371.4</v>
      </c>
    </row>
    <row r="41" spans="1:21" s="37" customFormat="1" ht="15.75">
      <c r="A41" s="30">
        <v>40483</v>
      </c>
      <c r="B41" s="31">
        <v>74650.300000000047</v>
      </c>
      <c r="C41" s="31">
        <v>103346.49999999997</v>
      </c>
      <c r="D41" s="31"/>
      <c r="E41" s="31">
        <f t="shared" si="4"/>
        <v>177996.80000000002</v>
      </c>
      <c r="F41" s="31">
        <v>35424.1</v>
      </c>
      <c r="G41" s="31">
        <v>107157.2</v>
      </c>
      <c r="H41" s="31" t="s">
        <v>2</v>
      </c>
      <c r="I41" s="31">
        <v>10363.699999999999</v>
      </c>
      <c r="J41" s="31">
        <v>50525</v>
      </c>
      <c r="K41" s="31">
        <v>145439.1</v>
      </c>
      <c r="L41" s="33">
        <f t="shared" si="0"/>
        <v>348909.1</v>
      </c>
      <c r="M41" s="34">
        <v>112932.1</v>
      </c>
      <c r="N41" s="31">
        <v>12494.599999999999</v>
      </c>
      <c r="O41" s="33">
        <f t="shared" si="1"/>
        <v>223482.39999999997</v>
      </c>
      <c r="P41" s="31">
        <v>12787.9</v>
      </c>
      <c r="Q41" s="31">
        <v>412702.2</v>
      </c>
      <c r="R41" s="33">
        <v>620.79999999999995</v>
      </c>
      <c r="S41" s="31">
        <f t="shared" si="5"/>
        <v>426110.9</v>
      </c>
      <c r="T41" s="35">
        <f t="shared" si="6"/>
        <v>649593.30000000005</v>
      </c>
      <c r="U41" s="31">
        <f t="shared" si="7"/>
        <v>827590.10000000009</v>
      </c>
    </row>
    <row r="42" spans="1:21" s="37" customFormat="1" ht="15.75">
      <c r="A42" s="30">
        <v>40513</v>
      </c>
      <c r="B42" s="31">
        <v>141613.59999999998</v>
      </c>
      <c r="C42" s="31">
        <v>112437.40000000001</v>
      </c>
      <c r="D42" s="31"/>
      <c r="E42" s="31">
        <f t="shared" si="4"/>
        <v>254051</v>
      </c>
      <c r="F42" s="31">
        <v>19134.2</v>
      </c>
      <c r="G42" s="31">
        <v>109104.5</v>
      </c>
      <c r="H42" s="31" t="s">
        <v>2</v>
      </c>
      <c r="I42" s="31">
        <v>14177.3</v>
      </c>
      <c r="J42" s="31">
        <v>88925</v>
      </c>
      <c r="K42" s="31">
        <v>145130.9</v>
      </c>
      <c r="L42" s="33">
        <f t="shared" si="0"/>
        <v>376471.9</v>
      </c>
      <c r="M42" s="34">
        <v>154442.40000000002</v>
      </c>
      <c r="N42" s="31">
        <v>11748.2</v>
      </c>
      <c r="O42" s="33">
        <f t="shared" si="1"/>
        <v>210281.3</v>
      </c>
      <c r="P42" s="31">
        <v>8682.2000000000007</v>
      </c>
      <c r="Q42" s="31">
        <v>460562.3</v>
      </c>
      <c r="R42" s="33">
        <v>599.4</v>
      </c>
      <c r="S42" s="31">
        <f t="shared" si="5"/>
        <v>469843.9</v>
      </c>
      <c r="T42" s="35">
        <f t="shared" si="6"/>
        <v>680125.2</v>
      </c>
      <c r="U42" s="31">
        <f t="shared" si="7"/>
        <v>934176.2</v>
      </c>
    </row>
    <row r="43" spans="1:21" s="37" customFormat="1" ht="15.75">
      <c r="A43" s="30">
        <v>40544</v>
      </c>
      <c r="B43" s="31">
        <v>131446.90000000002</v>
      </c>
      <c r="C43" s="31">
        <v>108031.50000000003</v>
      </c>
      <c r="D43" s="31"/>
      <c r="E43" s="31">
        <f t="shared" si="4"/>
        <v>239478.40000000005</v>
      </c>
      <c r="F43" s="31" t="s">
        <v>2</v>
      </c>
      <c r="G43" s="31">
        <v>120122</v>
      </c>
      <c r="H43" s="31" t="s">
        <v>2</v>
      </c>
      <c r="I43" s="31">
        <v>11301.6</v>
      </c>
      <c r="J43" s="31">
        <v>88925</v>
      </c>
      <c r="K43" s="31">
        <v>144822.79999999999</v>
      </c>
      <c r="L43" s="33">
        <f t="shared" si="0"/>
        <v>365171.4</v>
      </c>
      <c r="M43" s="34">
        <v>178191.98333333334</v>
      </c>
      <c r="N43" s="31">
        <v>9081.1</v>
      </c>
      <c r="O43" s="33">
        <f t="shared" si="1"/>
        <v>177898.31666666668</v>
      </c>
      <c r="P43" s="31">
        <v>7606.4000000000005</v>
      </c>
      <c r="Q43" s="31">
        <v>467155.83333333326</v>
      </c>
      <c r="R43" s="33">
        <v>588.79999999999995</v>
      </c>
      <c r="S43" s="31">
        <f t="shared" si="5"/>
        <v>475351.03333333327</v>
      </c>
      <c r="T43" s="35">
        <f t="shared" si="6"/>
        <v>653249.35</v>
      </c>
      <c r="U43" s="31">
        <f t="shared" si="7"/>
        <v>892727.75</v>
      </c>
    </row>
    <row r="44" spans="1:21" s="37" customFormat="1" ht="15.75">
      <c r="A44" s="30">
        <v>40575</v>
      </c>
      <c r="B44" s="31">
        <v>156264.40000000002</v>
      </c>
      <c r="C44" s="31">
        <v>100573.6</v>
      </c>
      <c r="D44" s="31"/>
      <c r="E44" s="31">
        <f t="shared" si="4"/>
        <v>256838.00000000003</v>
      </c>
      <c r="F44" s="31" t="s">
        <v>2</v>
      </c>
      <c r="G44" s="31">
        <v>130026.7</v>
      </c>
      <c r="H44" s="31" t="s">
        <v>2</v>
      </c>
      <c r="I44" s="31">
        <v>10764.699999999999</v>
      </c>
      <c r="J44" s="31">
        <v>88925</v>
      </c>
      <c r="K44" s="31">
        <v>144514.70000000001</v>
      </c>
      <c r="L44" s="33">
        <f t="shared" si="0"/>
        <v>374231.1</v>
      </c>
      <c r="M44" s="34">
        <v>211563.76666666666</v>
      </c>
      <c r="N44" s="31">
        <v>11244.5</v>
      </c>
      <c r="O44" s="33">
        <f t="shared" si="1"/>
        <v>151422.83333333331</v>
      </c>
      <c r="P44" s="31">
        <v>7244.9000000000005</v>
      </c>
      <c r="Q44" s="31">
        <v>483273.76666666666</v>
      </c>
      <c r="R44" s="33">
        <v>508.4</v>
      </c>
      <c r="S44" s="31">
        <f t="shared" si="5"/>
        <v>491027.06666666671</v>
      </c>
      <c r="T44" s="35">
        <f t="shared" si="6"/>
        <v>642449.9</v>
      </c>
      <c r="U44" s="31">
        <f t="shared" si="7"/>
        <v>899287.9</v>
      </c>
    </row>
    <row r="45" spans="1:21" s="37" customFormat="1" ht="15.75">
      <c r="A45" s="30">
        <v>40603</v>
      </c>
      <c r="B45" s="31">
        <v>143339.09999999998</v>
      </c>
      <c r="C45" s="31">
        <v>104483.19999999995</v>
      </c>
      <c r="D45" s="31"/>
      <c r="E45" s="31">
        <f t="shared" si="4"/>
        <v>247822.29999999993</v>
      </c>
      <c r="F45" s="31">
        <v>2480.5</v>
      </c>
      <c r="G45" s="31">
        <v>119566.29999999999</v>
      </c>
      <c r="H45" s="31" t="s">
        <v>2</v>
      </c>
      <c r="I45" s="31">
        <v>12695.1</v>
      </c>
      <c r="J45" s="31">
        <v>74325</v>
      </c>
      <c r="K45" s="31">
        <v>144206.6</v>
      </c>
      <c r="L45" s="33">
        <f t="shared" si="0"/>
        <v>353273.5</v>
      </c>
      <c r="M45" s="34">
        <v>168004.45</v>
      </c>
      <c r="N45" s="31">
        <v>9395.7999999999993</v>
      </c>
      <c r="O45" s="33">
        <f t="shared" si="1"/>
        <v>175873.25</v>
      </c>
      <c r="P45" s="31">
        <v>6471.0000000000009</v>
      </c>
      <c r="Q45" s="31">
        <v>493087.8</v>
      </c>
      <c r="R45" s="33">
        <v>599</v>
      </c>
      <c r="S45" s="31">
        <f t="shared" si="5"/>
        <v>500157.8</v>
      </c>
      <c r="T45" s="35">
        <f t="shared" si="6"/>
        <v>676031.05</v>
      </c>
      <c r="U45" s="31">
        <f t="shared" si="7"/>
        <v>923853.35</v>
      </c>
    </row>
    <row r="46" spans="1:21" s="37" customFormat="1" ht="15.75">
      <c r="A46" s="30">
        <v>40634</v>
      </c>
      <c r="B46" s="31">
        <v>151581.59999999998</v>
      </c>
      <c r="C46" s="31">
        <v>98502.399999999994</v>
      </c>
      <c r="D46" s="31"/>
      <c r="E46" s="31">
        <f t="shared" si="4"/>
        <v>250083.99999999997</v>
      </c>
      <c r="F46" s="31" t="s">
        <v>2</v>
      </c>
      <c r="G46" s="31">
        <v>121966.1</v>
      </c>
      <c r="H46" s="31" t="s">
        <v>2</v>
      </c>
      <c r="I46" s="31">
        <v>15459.300000000001</v>
      </c>
      <c r="J46" s="31">
        <v>74325</v>
      </c>
      <c r="K46" s="31">
        <v>143898.4</v>
      </c>
      <c r="L46" s="33">
        <f t="shared" si="0"/>
        <v>355648.8</v>
      </c>
      <c r="M46" s="34">
        <v>173148.33333333331</v>
      </c>
      <c r="N46" s="31">
        <v>11236.499999999998</v>
      </c>
      <c r="O46" s="33">
        <f t="shared" si="1"/>
        <v>171263.96666666667</v>
      </c>
      <c r="P46" s="31">
        <v>5060.1000000000013</v>
      </c>
      <c r="Q46" s="31">
        <v>501672.03333333333</v>
      </c>
      <c r="R46" s="33">
        <v>583.6</v>
      </c>
      <c r="S46" s="31">
        <f t="shared" si="5"/>
        <v>507315.73333333328</v>
      </c>
      <c r="T46" s="35">
        <f t="shared" si="6"/>
        <v>678579.7</v>
      </c>
      <c r="U46" s="31">
        <f t="shared" si="7"/>
        <v>928663.7</v>
      </c>
    </row>
    <row r="47" spans="1:21" s="37" customFormat="1" ht="15.75">
      <c r="A47" s="30">
        <v>40664</v>
      </c>
      <c r="B47" s="31">
        <v>145435.50000000006</v>
      </c>
      <c r="C47" s="31">
        <v>94834.900000000038</v>
      </c>
      <c r="D47" s="31"/>
      <c r="E47" s="31">
        <f t="shared" si="4"/>
        <v>240270.40000000008</v>
      </c>
      <c r="F47" s="31">
        <v>12986.3</v>
      </c>
      <c r="G47" s="31">
        <v>124240.19999999998</v>
      </c>
      <c r="H47" s="31" t="s">
        <v>2</v>
      </c>
      <c r="I47" s="31">
        <v>19313.400000000001</v>
      </c>
      <c r="J47" s="31">
        <v>74325</v>
      </c>
      <c r="K47" s="31">
        <v>143590.29999999999</v>
      </c>
      <c r="L47" s="33">
        <f t="shared" si="0"/>
        <v>374455.19999999995</v>
      </c>
      <c r="M47" s="34">
        <v>190756.71666666667</v>
      </c>
      <c r="N47" s="31">
        <v>10405.5</v>
      </c>
      <c r="O47" s="33">
        <f t="shared" si="1"/>
        <v>173292.98333333328</v>
      </c>
      <c r="P47" s="31">
        <v>4973.6000000000013</v>
      </c>
      <c r="Q47" s="31">
        <v>521741.36666666664</v>
      </c>
      <c r="R47" s="33">
        <v>631.5</v>
      </c>
      <c r="S47" s="31">
        <f t="shared" si="5"/>
        <v>527346.46666666667</v>
      </c>
      <c r="T47" s="35">
        <f t="shared" si="6"/>
        <v>700639.45</v>
      </c>
      <c r="U47" s="31">
        <f t="shared" si="7"/>
        <v>940909.85000000009</v>
      </c>
    </row>
    <row r="48" spans="1:21" s="37" customFormat="1" ht="15.75">
      <c r="A48" s="30">
        <v>40695</v>
      </c>
      <c r="B48" s="31">
        <v>133383.10000000003</v>
      </c>
      <c r="C48" s="31">
        <v>90655.799999999988</v>
      </c>
      <c r="D48" s="31"/>
      <c r="E48" s="31">
        <f t="shared" si="4"/>
        <v>224038.90000000002</v>
      </c>
      <c r="F48" s="31">
        <v>24462.799999999999</v>
      </c>
      <c r="G48" s="31">
        <v>117440.9</v>
      </c>
      <c r="H48" s="31" t="s">
        <v>2</v>
      </c>
      <c r="I48" s="31">
        <v>17897.8</v>
      </c>
      <c r="J48" s="31">
        <v>74325</v>
      </c>
      <c r="K48" s="31">
        <v>143282.1</v>
      </c>
      <c r="L48" s="33">
        <f t="shared" si="0"/>
        <v>377408.6</v>
      </c>
      <c r="M48" s="34">
        <v>178132.2</v>
      </c>
      <c r="N48" s="31">
        <v>12941</v>
      </c>
      <c r="O48" s="33">
        <f t="shared" si="1"/>
        <v>186335.39999999997</v>
      </c>
      <c r="P48" s="31">
        <v>5148.5000000000009</v>
      </c>
      <c r="Q48" s="31">
        <v>552170.20000000007</v>
      </c>
      <c r="R48" s="33">
        <v>597.5</v>
      </c>
      <c r="S48" s="31">
        <f t="shared" si="5"/>
        <v>557916.20000000007</v>
      </c>
      <c r="T48" s="35">
        <f t="shared" si="6"/>
        <v>744251.60000000009</v>
      </c>
      <c r="U48" s="31">
        <f t="shared" si="7"/>
        <v>968290.50000000012</v>
      </c>
    </row>
    <row r="49" spans="1:21" s="37" customFormat="1" ht="15.75">
      <c r="A49" s="30">
        <v>40725</v>
      </c>
      <c r="B49" s="31">
        <v>119995.09999999998</v>
      </c>
      <c r="C49" s="31">
        <v>94244.900000000023</v>
      </c>
      <c r="D49" s="31"/>
      <c r="E49" s="31">
        <f t="shared" si="4"/>
        <v>214240</v>
      </c>
      <c r="F49" s="31">
        <v>31447.8</v>
      </c>
      <c r="G49" s="31">
        <v>119540.9</v>
      </c>
      <c r="H49" s="31" t="s">
        <v>2</v>
      </c>
      <c r="I49" s="31">
        <v>16240.1</v>
      </c>
      <c r="J49" s="31">
        <v>74325</v>
      </c>
      <c r="K49" s="31">
        <v>142974</v>
      </c>
      <c r="L49" s="33">
        <f t="shared" si="0"/>
        <v>384527.8</v>
      </c>
      <c r="M49" s="34">
        <v>159211.65</v>
      </c>
      <c r="N49" s="31">
        <v>12144.3</v>
      </c>
      <c r="O49" s="33">
        <f t="shared" si="1"/>
        <v>213171.85</v>
      </c>
      <c r="P49" s="31">
        <v>8163.5</v>
      </c>
      <c r="Q49" s="31">
        <v>567671.01666666672</v>
      </c>
      <c r="R49" s="33">
        <v>600</v>
      </c>
      <c r="S49" s="31">
        <f t="shared" si="5"/>
        <v>576434.51666666672</v>
      </c>
      <c r="T49" s="35">
        <f t="shared" si="6"/>
        <v>789606.3666666667</v>
      </c>
      <c r="U49" s="31">
        <f t="shared" si="7"/>
        <v>1003846.3666666667</v>
      </c>
    </row>
    <row r="50" spans="1:21" s="37" customFormat="1" ht="15.75">
      <c r="A50" s="30">
        <v>40756</v>
      </c>
      <c r="B50" s="31">
        <v>101092.90000000002</v>
      </c>
      <c r="C50" s="31">
        <v>95644.100000000035</v>
      </c>
      <c r="D50" s="31"/>
      <c r="E50" s="31">
        <f t="shared" si="4"/>
        <v>196737.00000000006</v>
      </c>
      <c r="F50" s="31">
        <v>35035.800000000003</v>
      </c>
      <c r="G50" s="31">
        <v>104184.4</v>
      </c>
      <c r="H50" s="31" t="s">
        <v>2</v>
      </c>
      <c r="I50" s="31">
        <v>13778.1</v>
      </c>
      <c r="J50" s="31">
        <v>74325</v>
      </c>
      <c r="K50" s="31">
        <v>142665.9</v>
      </c>
      <c r="L50" s="33">
        <f t="shared" si="0"/>
        <v>369989.2</v>
      </c>
      <c r="M50" s="34">
        <v>157183.1</v>
      </c>
      <c r="N50" s="31">
        <v>13843.4</v>
      </c>
      <c r="O50" s="33">
        <f t="shared" si="1"/>
        <v>198962.7</v>
      </c>
      <c r="P50" s="31">
        <v>10457.799999999999</v>
      </c>
      <c r="Q50" s="31">
        <v>584936.33333333337</v>
      </c>
      <c r="R50" s="33">
        <v>573.40000000000009</v>
      </c>
      <c r="S50" s="31">
        <f t="shared" si="5"/>
        <v>595967.53333333344</v>
      </c>
      <c r="T50" s="35">
        <f t="shared" si="6"/>
        <v>794930.2333333334</v>
      </c>
      <c r="U50" s="31">
        <f t="shared" si="7"/>
        <v>991667.2333333334</v>
      </c>
    </row>
    <row r="51" spans="1:21" s="37" customFormat="1" ht="15.75">
      <c r="A51" s="30">
        <v>40787</v>
      </c>
      <c r="B51" s="31">
        <v>81241.400000000023</v>
      </c>
      <c r="C51" s="31">
        <v>88234.400000000023</v>
      </c>
      <c r="D51" s="31"/>
      <c r="E51" s="31">
        <f t="shared" si="4"/>
        <v>169475.80000000005</v>
      </c>
      <c r="F51" s="31">
        <v>29256.3</v>
      </c>
      <c r="G51" s="31">
        <v>106984.4</v>
      </c>
      <c r="H51" s="31" t="s">
        <v>2</v>
      </c>
      <c r="I51" s="31">
        <v>12911.2</v>
      </c>
      <c r="J51" s="31">
        <v>74325</v>
      </c>
      <c r="K51" s="31">
        <v>142357.70000000001</v>
      </c>
      <c r="L51" s="33">
        <f t="shared" si="0"/>
        <v>365834.6</v>
      </c>
      <c r="M51" s="34">
        <v>152796.54999999999</v>
      </c>
      <c r="N51" s="31">
        <v>13503.9</v>
      </c>
      <c r="O51" s="33">
        <f t="shared" si="1"/>
        <v>199534.15</v>
      </c>
      <c r="P51" s="31">
        <v>8482.0999999999985</v>
      </c>
      <c r="Q51" s="31">
        <v>592674.85</v>
      </c>
      <c r="R51" s="33">
        <v>1019.5999999999999</v>
      </c>
      <c r="S51" s="31">
        <f t="shared" si="5"/>
        <v>602176.54999999993</v>
      </c>
      <c r="T51" s="35">
        <f t="shared" si="6"/>
        <v>801710.7</v>
      </c>
      <c r="U51" s="31">
        <f t="shared" si="7"/>
        <v>971186.5</v>
      </c>
    </row>
    <row r="52" spans="1:21" s="37" customFormat="1" ht="15.75">
      <c r="A52" s="30">
        <v>40817</v>
      </c>
      <c r="B52" s="31">
        <v>61605.000000000058</v>
      </c>
      <c r="C52" s="31">
        <v>91985.2</v>
      </c>
      <c r="D52" s="31"/>
      <c r="E52" s="31">
        <f t="shared" si="4"/>
        <v>153590.20000000007</v>
      </c>
      <c r="F52" s="31">
        <v>29858.9</v>
      </c>
      <c r="G52" s="31">
        <v>105384.4</v>
      </c>
      <c r="H52" s="31" t="s">
        <v>2</v>
      </c>
      <c r="I52" s="31">
        <v>13872.2</v>
      </c>
      <c r="J52" s="31">
        <v>94325</v>
      </c>
      <c r="K52" s="31">
        <v>142049.60000000001</v>
      </c>
      <c r="L52" s="33">
        <f t="shared" si="0"/>
        <v>385490.1</v>
      </c>
      <c r="M52" s="34">
        <v>161133.20000000001</v>
      </c>
      <c r="N52" s="31">
        <v>14274.7</v>
      </c>
      <c r="O52" s="33">
        <f t="shared" si="1"/>
        <v>210082.19999999995</v>
      </c>
      <c r="P52" s="31">
        <v>4975.6000000000013</v>
      </c>
      <c r="Q52" s="31">
        <v>612731.76666666649</v>
      </c>
      <c r="R52" s="33">
        <v>994.09999999999991</v>
      </c>
      <c r="S52" s="31">
        <f t="shared" si="5"/>
        <v>618701.46666666644</v>
      </c>
      <c r="T52" s="35">
        <f t="shared" si="6"/>
        <v>828783.6666666664</v>
      </c>
      <c r="U52" s="31">
        <f t="shared" si="7"/>
        <v>982373.86666666646</v>
      </c>
    </row>
    <row r="53" spans="1:21" s="37" customFormat="1" ht="15.75">
      <c r="A53" s="30">
        <v>40848</v>
      </c>
      <c r="B53" s="31">
        <v>59710.299999999988</v>
      </c>
      <c r="C53" s="31">
        <v>101477.99999999999</v>
      </c>
      <c r="D53" s="31"/>
      <c r="E53" s="31">
        <f t="shared" si="4"/>
        <v>161188.29999999999</v>
      </c>
      <c r="F53" s="31">
        <v>13631.5</v>
      </c>
      <c r="G53" s="31">
        <v>94884.4</v>
      </c>
      <c r="H53" s="31" t="s">
        <v>2</v>
      </c>
      <c r="I53" s="31">
        <v>14068.5</v>
      </c>
      <c r="J53" s="31">
        <v>94325</v>
      </c>
      <c r="K53" s="31">
        <v>142049.60000000001</v>
      </c>
      <c r="L53" s="33">
        <f t="shared" si="0"/>
        <v>358959</v>
      </c>
      <c r="M53" s="34">
        <v>164059.25</v>
      </c>
      <c r="N53" s="31">
        <v>14823.400000000001</v>
      </c>
      <c r="O53" s="33">
        <f t="shared" si="1"/>
        <v>180076.35</v>
      </c>
      <c r="P53" s="31">
        <v>6924.0000000000009</v>
      </c>
      <c r="Q53" s="31">
        <v>620487.28333333333</v>
      </c>
      <c r="R53" s="33">
        <v>1003.0999999999999</v>
      </c>
      <c r="S53" s="31">
        <f t="shared" si="5"/>
        <v>628414.3833333333</v>
      </c>
      <c r="T53" s="35">
        <f t="shared" si="6"/>
        <v>808490.73333333328</v>
      </c>
      <c r="U53" s="31">
        <f t="shared" si="7"/>
        <v>969679.03333333321</v>
      </c>
    </row>
    <row r="54" spans="1:21" s="37" customFormat="1" ht="15.75">
      <c r="A54" s="30">
        <v>40878</v>
      </c>
      <c r="B54" s="31">
        <v>82293.999999999942</v>
      </c>
      <c r="C54" s="31">
        <v>123231.6</v>
      </c>
      <c r="D54" s="31"/>
      <c r="E54" s="31">
        <f t="shared" si="4"/>
        <v>205525.59999999995</v>
      </c>
      <c r="F54" s="31">
        <v>86260.6</v>
      </c>
      <c r="G54" s="31">
        <v>84484.4</v>
      </c>
      <c r="H54" s="31" t="s">
        <v>2</v>
      </c>
      <c r="I54" s="31">
        <v>14746.9</v>
      </c>
      <c r="J54" s="31">
        <v>94325</v>
      </c>
      <c r="K54" s="31">
        <v>141433.29999999999</v>
      </c>
      <c r="L54" s="33">
        <f t="shared" si="0"/>
        <v>421250.2</v>
      </c>
      <c r="M54" s="34">
        <v>175708.5</v>
      </c>
      <c r="N54" s="31">
        <v>14154.1</v>
      </c>
      <c r="O54" s="33">
        <f t="shared" si="1"/>
        <v>231387.6</v>
      </c>
      <c r="P54" s="31">
        <v>4009.9000000000005</v>
      </c>
      <c r="Q54" s="31">
        <v>612267</v>
      </c>
      <c r="R54" s="33">
        <v>1021.9000000000001</v>
      </c>
      <c r="S54" s="31">
        <f t="shared" si="5"/>
        <v>617298.80000000005</v>
      </c>
      <c r="T54" s="35">
        <f t="shared" si="6"/>
        <v>848686.4</v>
      </c>
      <c r="U54" s="31">
        <f t="shared" si="7"/>
        <v>1054212</v>
      </c>
    </row>
    <row r="55" spans="1:21" s="37" customFormat="1" ht="15.75">
      <c r="A55" s="30">
        <v>40909</v>
      </c>
      <c r="B55" s="31">
        <v>112890.80000000016</v>
      </c>
      <c r="C55" s="31">
        <v>125509.49999999997</v>
      </c>
      <c r="D55" s="31"/>
      <c r="E55" s="31">
        <f t="shared" si="4"/>
        <v>238400.30000000013</v>
      </c>
      <c r="F55" s="31">
        <v>23225.200000000001</v>
      </c>
      <c r="G55" s="31">
        <v>85407.4</v>
      </c>
      <c r="H55" s="31" t="s">
        <v>2</v>
      </c>
      <c r="I55" s="31">
        <v>15311.9</v>
      </c>
      <c r="J55" s="31">
        <v>94325</v>
      </c>
      <c r="K55" s="31">
        <v>141125.20000000001</v>
      </c>
      <c r="L55" s="33">
        <f t="shared" si="0"/>
        <v>359394.7</v>
      </c>
      <c r="M55" s="34">
        <v>187619.55000000002</v>
      </c>
      <c r="N55" s="31">
        <v>16320.800000000001</v>
      </c>
      <c r="O55" s="33">
        <f t="shared" si="1"/>
        <v>155454.35</v>
      </c>
      <c r="P55" s="31">
        <v>5315.2</v>
      </c>
      <c r="Q55" s="31">
        <v>615659.6</v>
      </c>
      <c r="R55" s="33">
        <v>1011.8</v>
      </c>
      <c r="S55" s="31">
        <f t="shared" si="5"/>
        <v>621986.6</v>
      </c>
      <c r="T55" s="35">
        <f t="shared" si="6"/>
        <v>777440.95</v>
      </c>
      <c r="U55" s="31">
        <f t="shared" si="7"/>
        <v>1015841.2500000001</v>
      </c>
    </row>
    <row r="56" spans="1:21" s="37" customFormat="1" ht="15.75">
      <c r="A56" s="30">
        <v>40940</v>
      </c>
      <c r="B56" s="31">
        <v>98423.899999999965</v>
      </c>
      <c r="C56" s="31">
        <v>123068.90000000004</v>
      </c>
      <c r="D56" s="31"/>
      <c r="E56" s="31">
        <f t="shared" si="4"/>
        <v>221492.8</v>
      </c>
      <c r="F56" s="31">
        <v>19733.599999999999</v>
      </c>
      <c r="G56" s="31">
        <v>81551.099999999991</v>
      </c>
      <c r="H56" s="31" t="s">
        <v>2</v>
      </c>
      <c r="I56" s="31">
        <v>15168.9</v>
      </c>
      <c r="J56" s="31">
        <v>94325</v>
      </c>
      <c r="K56" s="31">
        <v>140817.1</v>
      </c>
      <c r="L56" s="33">
        <f t="shared" si="0"/>
        <v>351595.69999999995</v>
      </c>
      <c r="M56" s="34">
        <v>173429.90000000002</v>
      </c>
      <c r="N56" s="31">
        <v>17114.3</v>
      </c>
      <c r="O56" s="33">
        <f t="shared" si="1"/>
        <v>161051.49999999994</v>
      </c>
      <c r="P56" s="31">
        <v>10997.099999999999</v>
      </c>
      <c r="Q56" s="31">
        <v>616794.9</v>
      </c>
      <c r="R56" s="33">
        <v>953.59999999999991</v>
      </c>
      <c r="S56" s="31">
        <f t="shared" si="5"/>
        <v>628745.6</v>
      </c>
      <c r="T56" s="35">
        <f t="shared" si="6"/>
        <v>789797.09999999986</v>
      </c>
      <c r="U56" s="31">
        <f t="shared" si="7"/>
        <v>1011289.8999999999</v>
      </c>
    </row>
    <row r="57" spans="1:21" s="37" customFormat="1" ht="15.75">
      <c r="A57" s="30">
        <v>40969</v>
      </c>
      <c r="B57" s="31">
        <v>67729.100000000093</v>
      </c>
      <c r="C57" s="31">
        <v>118491.8</v>
      </c>
      <c r="D57" s="31"/>
      <c r="E57" s="31">
        <f t="shared" si="4"/>
        <v>186220.90000000008</v>
      </c>
      <c r="F57" s="31">
        <v>41361.199999999997</v>
      </c>
      <c r="G57" s="31">
        <v>72751.099999999991</v>
      </c>
      <c r="H57" s="31" t="s">
        <v>2</v>
      </c>
      <c r="I57" s="31">
        <v>16271.5</v>
      </c>
      <c r="J57" s="31">
        <v>94325</v>
      </c>
      <c r="K57" s="31">
        <v>140508.9</v>
      </c>
      <c r="L57" s="33">
        <f t="shared" si="0"/>
        <v>365217.69999999995</v>
      </c>
      <c r="M57" s="34">
        <v>189874.75</v>
      </c>
      <c r="N57" s="31">
        <v>16840.8</v>
      </c>
      <c r="O57" s="33">
        <f t="shared" si="1"/>
        <v>158502.14999999997</v>
      </c>
      <c r="P57" s="31">
        <v>11397</v>
      </c>
      <c r="Q57" s="31">
        <v>625626.10000000009</v>
      </c>
      <c r="R57" s="33">
        <v>943.4</v>
      </c>
      <c r="S57" s="31">
        <f t="shared" si="5"/>
        <v>637966.50000000012</v>
      </c>
      <c r="T57" s="35">
        <f t="shared" si="6"/>
        <v>796468.65000000014</v>
      </c>
      <c r="U57" s="31">
        <f t="shared" si="7"/>
        <v>982689.55000000028</v>
      </c>
    </row>
    <row r="58" spans="1:21" s="37" customFormat="1" ht="15.75">
      <c r="A58" s="30">
        <v>41000</v>
      </c>
      <c r="B58" s="31">
        <v>57855.800000000047</v>
      </c>
      <c r="C58" s="31">
        <v>106035.70000000001</v>
      </c>
      <c r="D58" s="31"/>
      <c r="E58" s="31">
        <f t="shared" si="4"/>
        <v>163891.50000000006</v>
      </c>
      <c r="F58" s="31">
        <v>51796.5</v>
      </c>
      <c r="G58" s="31">
        <v>68244.899999999994</v>
      </c>
      <c r="H58" s="31" t="s">
        <v>2</v>
      </c>
      <c r="I58" s="31">
        <v>17528.8</v>
      </c>
      <c r="J58" s="31">
        <v>94325</v>
      </c>
      <c r="K58" s="31">
        <v>140200.79999999999</v>
      </c>
      <c r="L58" s="33">
        <f t="shared" si="0"/>
        <v>372096</v>
      </c>
      <c r="M58" s="34">
        <v>167768.29999999999</v>
      </c>
      <c r="N58" s="31">
        <v>19564.399999999994</v>
      </c>
      <c r="O58" s="33">
        <f t="shared" si="1"/>
        <v>184763.30000000002</v>
      </c>
      <c r="P58" s="31">
        <v>13397.199999999999</v>
      </c>
      <c r="Q58" s="31">
        <v>630867.39999999991</v>
      </c>
      <c r="R58" s="33">
        <v>916.8</v>
      </c>
      <c r="S58" s="31">
        <f t="shared" si="5"/>
        <v>645181.39999999991</v>
      </c>
      <c r="T58" s="35">
        <f t="shared" si="6"/>
        <v>829944.7</v>
      </c>
      <c r="U58" s="31">
        <f t="shared" si="7"/>
        <v>993836.2</v>
      </c>
    </row>
    <row r="59" spans="1:21" s="37" customFormat="1" ht="15.75">
      <c r="A59" s="30">
        <v>41030</v>
      </c>
      <c r="B59" s="31">
        <v>60535.400000000081</v>
      </c>
      <c r="C59" s="31">
        <v>83366.000000000015</v>
      </c>
      <c r="D59" s="31"/>
      <c r="E59" s="31">
        <f t="shared" si="4"/>
        <v>143901.40000000008</v>
      </c>
      <c r="F59" s="31">
        <v>32561.9</v>
      </c>
      <c r="G59" s="31">
        <v>66801.100000000006</v>
      </c>
      <c r="H59" s="31" t="s">
        <v>2</v>
      </c>
      <c r="I59" s="31">
        <v>15899.2</v>
      </c>
      <c r="J59" s="31">
        <v>94325</v>
      </c>
      <c r="K59" s="31">
        <v>140200.79999999999</v>
      </c>
      <c r="L59" s="33">
        <f t="shared" si="0"/>
        <v>349788</v>
      </c>
      <c r="M59" s="34">
        <v>152755.05000000002</v>
      </c>
      <c r="N59" s="31">
        <v>13236.300000000001</v>
      </c>
      <c r="O59" s="33">
        <f t="shared" si="1"/>
        <v>183796.65</v>
      </c>
      <c r="P59" s="31">
        <v>14556.999999999998</v>
      </c>
      <c r="Q59" s="31">
        <v>659531.89999999991</v>
      </c>
      <c r="R59" s="33">
        <v>992.09999999999991</v>
      </c>
      <c r="S59" s="31">
        <f t="shared" si="5"/>
        <v>675080.99999999988</v>
      </c>
      <c r="T59" s="35">
        <f t="shared" si="6"/>
        <v>858877.64999999991</v>
      </c>
      <c r="U59" s="31">
        <f t="shared" si="7"/>
        <v>1002779.05</v>
      </c>
    </row>
    <row r="60" spans="1:21" s="37" customFormat="1" ht="15.75">
      <c r="A60" s="30">
        <v>41061</v>
      </c>
      <c r="B60" s="31">
        <v>49308</v>
      </c>
      <c r="C60" s="31">
        <v>78556.900000000023</v>
      </c>
      <c r="D60" s="31"/>
      <c r="E60" s="31">
        <f t="shared" si="4"/>
        <v>127864.90000000002</v>
      </c>
      <c r="F60" s="31">
        <v>49375</v>
      </c>
      <c r="G60" s="31">
        <v>63101.1</v>
      </c>
      <c r="H60" s="31" t="s">
        <v>2</v>
      </c>
      <c r="I60" s="31">
        <v>18502.399999999998</v>
      </c>
      <c r="J60" s="31">
        <v>94325</v>
      </c>
      <c r="K60" s="31">
        <v>139584.5</v>
      </c>
      <c r="L60" s="33">
        <f t="shared" si="0"/>
        <v>364888</v>
      </c>
      <c r="M60" s="34">
        <v>146789.10000000003</v>
      </c>
      <c r="N60" s="31">
        <v>13565.2</v>
      </c>
      <c r="O60" s="33">
        <f t="shared" si="1"/>
        <v>204533.69999999995</v>
      </c>
      <c r="P60" s="31">
        <v>16232.4</v>
      </c>
      <c r="Q60" s="31">
        <v>681196.70000000007</v>
      </c>
      <c r="R60" s="33">
        <v>1005.8</v>
      </c>
      <c r="S60" s="31">
        <f t="shared" si="5"/>
        <v>698434.90000000014</v>
      </c>
      <c r="T60" s="35">
        <f t="shared" si="6"/>
        <v>902968.60000000009</v>
      </c>
      <c r="U60" s="31">
        <f t="shared" si="7"/>
        <v>1030833.5000000001</v>
      </c>
    </row>
    <row r="61" spans="1:21" s="37" customFormat="1" ht="15.75">
      <c r="A61" s="30">
        <v>41091</v>
      </c>
      <c r="B61" s="31">
        <v>46872.800000000047</v>
      </c>
      <c r="C61" s="31">
        <v>98136.900000000023</v>
      </c>
      <c r="D61" s="31"/>
      <c r="E61" s="31">
        <f t="shared" si="4"/>
        <v>145009.70000000007</v>
      </c>
      <c r="F61" s="31">
        <v>53695.7</v>
      </c>
      <c r="G61" s="31">
        <v>52484.4</v>
      </c>
      <c r="H61" s="31" t="s">
        <v>2</v>
      </c>
      <c r="I61" s="31">
        <v>16648.2</v>
      </c>
      <c r="J61" s="31">
        <v>108925</v>
      </c>
      <c r="K61" s="31">
        <v>139276.4</v>
      </c>
      <c r="L61" s="33">
        <f t="shared" si="0"/>
        <v>371029.69999999995</v>
      </c>
      <c r="M61" s="34">
        <v>143746.51666666666</v>
      </c>
      <c r="N61" s="31">
        <v>16513.699999999997</v>
      </c>
      <c r="O61" s="33">
        <f t="shared" si="1"/>
        <v>210769.48333333328</v>
      </c>
      <c r="P61" s="31">
        <v>17742.2</v>
      </c>
      <c r="Q61" s="31">
        <v>682743.1166666667</v>
      </c>
      <c r="R61" s="33">
        <v>993.4</v>
      </c>
      <c r="S61" s="31">
        <f t="shared" si="5"/>
        <v>701478.71666666667</v>
      </c>
      <c r="T61" s="35">
        <f t="shared" si="6"/>
        <v>912248.2</v>
      </c>
      <c r="U61" s="31">
        <f t="shared" si="7"/>
        <v>1057257.8999999999</v>
      </c>
    </row>
    <row r="62" spans="1:21" s="37" customFormat="1" ht="15.75">
      <c r="A62" s="30">
        <v>41122</v>
      </c>
      <c r="B62" s="31">
        <v>39580.200000000012</v>
      </c>
      <c r="C62" s="31">
        <v>102097.4</v>
      </c>
      <c r="D62" s="31"/>
      <c r="E62" s="31">
        <f t="shared" si="4"/>
        <v>141677.6</v>
      </c>
      <c r="F62" s="31">
        <v>65092</v>
      </c>
      <c r="G62" s="31">
        <v>44735.199999999997</v>
      </c>
      <c r="H62" s="31" t="s">
        <v>2</v>
      </c>
      <c r="I62" s="31">
        <v>14110.066666666666</v>
      </c>
      <c r="J62" s="31">
        <v>108925</v>
      </c>
      <c r="K62" s="31">
        <v>138968.29999999999</v>
      </c>
      <c r="L62" s="33">
        <f t="shared" si="0"/>
        <v>371830.56666666665</v>
      </c>
      <c r="M62" s="34">
        <v>131362.43333333335</v>
      </c>
      <c r="N62" s="31">
        <v>18916.900000000001</v>
      </c>
      <c r="O62" s="33">
        <f t="shared" si="1"/>
        <v>221551.23333333331</v>
      </c>
      <c r="P62" s="31">
        <v>26322.699999999997</v>
      </c>
      <c r="Q62" s="31">
        <v>691338.43333333335</v>
      </c>
      <c r="R62" s="33">
        <v>1013</v>
      </c>
      <c r="S62" s="31">
        <f t="shared" si="5"/>
        <v>718674.1333333333</v>
      </c>
      <c r="T62" s="35">
        <f t="shared" si="6"/>
        <v>940225.36666666658</v>
      </c>
      <c r="U62" s="31">
        <f t="shared" si="7"/>
        <v>1081902.9666666666</v>
      </c>
    </row>
    <row r="63" spans="1:21" s="37" customFormat="1" ht="15.75">
      <c r="A63" s="30">
        <v>41153</v>
      </c>
      <c r="B63" s="31">
        <v>55414.5</v>
      </c>
      <c r="C63" s="31">
        <v>105595.80000000003</v>
      </c>
      <c r="D63" s="31"/>
      <c r="E63" s="31">
        <f t="shared" si="4"/>
        <v>161010.30000000005</v>
      </c>
      <c r="F63" s="31">
        <v>51763.199999999997</v>
      </c>
      <c r="G63" s="31">
        <v>38166.800000000003</v>
      </c>
      <c r="H63" s="31" t="s">
        <v>2</v>
      </c>
      <c r="I63" s="31">
        <v>13870.5</v>
      </c>
      <c r="J63" s="31">
        <v>108925</v>
      </c>
      <c r="K63" s="31">
        <v>138968.29999999999</v>
      </c>
      <c r="L63" s="33">
        <f t="shared" si="0"/>
        <v>351693.8</v>
      </c>
      <c r="M63" s="34">
        <v>133972.04999999999</v>
      </c>
      <c r="N63" s="31">
        <v>15255.2</v>
      </c>
      <c r="O63" s="33">
        <f t="shared" si="1"/>
        <v>202466.55</v>
      </c>
      <c r="P63" s="31">
        <v>24945.899999999998</v>
      </c>
      <c r="Q63" s="31">
        <v>685471.85000000009</v>
      </c>
      <c r="R63" s="33">
        <v>1059.5</v>
      </c>
      <c r="S63" s="31">
        <f t="shared" si="5"/>
        <v>711477.25000000012</v>
      </c>
      <c r="T63" s="35">
        <f t="shared" si="6"/>
        <v>913943.8</v>
      </c>
      <c r="U63" s="31">
        <f t="shared" si="7"/>
        <v>1074954.1000000001</v>
      </c>
    </row>
    <row r="64" spans="1:21" s="37" customFormat="1" ht="15.75">
      <c r="A64" s="30">
        <v>41183</v>
      </c>
      <c r="B64" s="31">
        <v>50733.300000000105</v>
      </c>
      <c r="C64" s="31">
        <v>99522.699999999968</v>
      </c>
      <c r="D64" s="31"/>
      <c r="E64" s="31">
        <f t="shared" si="4"/>
        <v>150256.00000000006</v>
      </c>
      <c r="F64" s="31">
        <v>78836.5</v>
      </c>
      <c r="G64" s="31">
        <v>34235.199999999997</v>
      </c>
      <c r="H64" s="31" t="s">
        <v>2</v>
      </c>
      <c r="I64" s="31">
        <v>14080.2</v>
      </c>
      <c r="J64" s="31">
        <v>108925</v>
      </c>
      <c r="K64" s="31">
        <v>138352</v>
      </c>
      <c r="L64" s="33">
        <f t="shared" si="0"/>
        <v>374428.9</v>
      </c>
      <c r="M64" s="34">
        <v>152751.86666666667</v>
      </c>
      <c r="N64" s="31">
        <v>14718.9</v>
      </c>
      <c r="O64" s="33">
        <f t="shared" si="1"/>
        <v>206958.13333333336</v>
      </c>
      <c r="P64" s="31">
        <v>23160.3</v>
      </c>
      <c r="Q64" s="31">
        <v>697084.96666666656</v>
      </c>
      <c r="R64" s="33">
        <v>1087.2</v>
      </c>
      <c r="S64" s="31">
        <f t="shared" si="5"/>
        <v>721332.46666666656</v>
      </c>
      <c r="T64" s="35">
        <f t="shared" si="6"/>
        <v>928290.59999999986</v>
      </c>
      <c r="U64" s="31">
        <f t="shared" si="7"/>
        <v>1078546.5999999999</v>
      </c>
    </row>
    <row r="65" spans="1:21" s="37" customFormat="1" ht="15.75">
      <c r="A65" s="30">
        <v>41214</v>
      </c>
      <c r="B65" s="31">
        <v>50395</v>
      </c>
      <c r="C65" s="31">
        <v>107039.20000000001</v>
      </c>
      <c r="D65" s="31"/>
      <c r="E65" s="31">
        <f t="shared" si="4"/>
        <v>157434.20000000001</v>
      </c>
      <c r="F65" s="31">
        <v>104206.5</v>
      </c>
      <c r="G65" s="31">
        <v>35864.9</v>
      </c>
      <c r="H65" s="31"/>
      <c r="I65" s="31">
        <v>16169.2</v>
      </c>
      <c r="J65" s="31">
        <v>108925</v>
      </c>
      <c r="K65" s="31">
        <v>138043.9</v>
      </c>
      <c r="L65" s="33">
        <f t="shared" si="0"/>
        <v>403209.5</v>
      </c>
      <c r="M65" s="34">
        <v>154275.78333333335</v>
      </c>
      <c r="N65" s="31">
        <v>17782.100000000002</v>
      </c>
      <c r="O65" s="33">
        <f t="shared" si="1"/>
        <v>231151.61666666664</v>
      </c>
      <c r="P65" s="31">
        <v>23395.500000000004</v>
      </c>
      <c r="Q65" s="31">
        <v>699905.4833333334</v>
      </c>
      <c r="R65" s="33">
        <v>1050.5999999999999</v>
      </c>
      <c r="S65" s="31">
        <f t="shared" si="5"/>
        <v>724351.58333333337</v>
      </c>
      <c r="T65" s="35">
        <f t="shared" si="6"/>
        <v>955503.2</v>
      </c>
      <c r="U65" s="31">
        <f t="shared" si="7"/>
        <v>1112937.3999999999</v>
      </c>
    </row>
    <row r="66" spans="1:21" s="37" customFormat="1" ht="15.75">
      <c r="A66" s="30">
        <v>41244</v>
      </c>
      <c r="B66" s="31">
        <v>66928.900000000023</v>
      </c>
      <c r="C66" s="31">
        <v>129708.8</v>
      </c>
      <c r="D66" s="31"/>
      <c r="E66" s="31">
        <f t="shared" si="4"/>
        <v>196637.7</v>
      </c>
      <c r="F66" s="31">
        <v>155251.9</v>
      </c>
      <c r="G66" s="31">
        <v>49024.3</v>
      </c>
      <c r="H66" s="31"/>
      <c r="I66" s="31">
        <v>17982.599999999999</v>
      </c>
      <c r="J66" s="31">
        <v>117037.4</v>
      </c>
      <c r="K66" s="31">
        <v>137735.70000000001</v>
      </c>
      <c r="L66" s="33">
        <f t="shared" si="0"/>
        <v>477031.9</v>
      </c>
      <c r="M66" s="34">
        <v>182803.7</v>
      </c>
      <c r="N66" s="31">
        <v>18296</v>
      </c>
      <c r="O66" s="33">
        <f t="shared" si="1"/>
        <v>275932.2</v>
      </c>
      <c r="P66" s="31">
        <v>24157.200000000001</v>
      </c>
      <c r="Q66" s="31">
        <v>683891.70000000007</v>
      </c>
      <c r="R66" s="33">
        <v>1057.9000000000001</v>
      </c>
      <c r="S66" s="31">
        <f t="shared" si="5"/>
        <v>709106.8</v>
      </c>
      <c r="T66" s="35">
        <f t="shared" si="6"/>
        <v>985039</v>
      </c>
      <c r="U66" s="31">
        <f t="shared" si="7"/>
        <v>1181676.7</v>
      </c>
    </row>
    <row r="67" spans="1:21" s="37" customFormat="1" ht="15.75">
      <c r="A67" s="30">
        <v>41275</v>
      </c>
      <c r="B67" s="31">
        <v>55782.700000000012</v>
      </c>
      <c r="C67" s="31">
        <v>140475.40000000002</v>
      </c>
      <c r="D67" s="31">
        <v>-8.1</v>
      </c>
      <c r="E67" s="31">
        <f t="shared" si="4"/>
        <v>196250.00000000003</v>
      </c>
      <c r="F67" s="32" t="s">
        <v>2</v>
      </c>
      <c r="G67" s="31">
        <v>53502.600000000006</v>
      </c>
      <c r="H67" s="31"/>
      <c r="I67" s="31">
        <v>14555.217000000001</v>
      </c>
      <c r="J67" s="31">
        <v>115644.1</v>
      </c>
      <c r="K67" s="31">
        <v>292679.5</v>
      </c>
      <c r="L67" s="33">
        <f t="shared" si="0"/>
        <v>476381.41700000002</v>
      </c>
      <c r="M67" s="34">
        <v>220799.68333333335</v>
      </c>
      <c r="N67" s="31">
        <v>21555.599999999999</v>
      </c>
      <c r="O67" s="33">
        <f t="shared" si="1"/>
        <v>234026.13366666666</v>
      </c>
      <c r="P67" s="31">
        <v>24524.300000000003</v>
      </c>
      <c r="Q67" s="31">
        <v>708419.21666666667</v>
      </c>
      <c r="R67" s="33">
        <v>1099.5999999999999</v>
      </c>
      <c r="S67" s="31">
        <f t="shared" si="5"/>
        <v>734043.1166666667</v>
      </c>
      <c r="T67" s="35">
        <f t="shared" si="6"/>
        <v>968069.25033333339</v>
      </c>
      <c r="U67" s="31">
        <f t="shared" si="7"/>
        <v>1164319.2503333334</v>
      </c>
    </row>
    <row r="68" spans="1:21" s="37" customFormat="1" ht="15.75">
      <c r="A68" s="30">
        <v>41306</v>
      </c>
      <c r="B68" s="31">
        <v>97419.499999999884</v>
      </c>
      <c r="C68" s="31">
        <v>158351.6</v>
      </c>
      <c r="D68" s="31">
        <v>-16.2</v>
      </c>
      <c r="E68" s="31">
        <f t="shared" si="4"/>
        <v>255754.89999999988</v>
      </c>
      <c r="F68" s="32" t="s">
        <v>2</v>
      </c>
      <c r="G68" s="31">
        <v>50864</v>
      </c>
      <c r="H68" s="31"/>
      <c r="I68" s="31">
        <v>16132</v>
      </c>
      <c r="J68" s="31">
        <v>114250.8</v>
      </c>
      <c r="K68" s="31">
        <v>292371.40000000002</v>
      </c>
      <c r="L68" s="33">
        <f t="shared" si="0"/>
        <v>473618.2</v>
      </c>
      <c r="M68" s="34">
        <v>241982.86666666667</v>
      </c>
      <c r="N68" s="31">
        <v>22934.400000000001</v>
      </c>
      <c r="O68" s="33">
        <f t="shared" si="1"/>
        <v>208700.93333333335</v>
      </c>
      <c r="P68" s="31">
        <v>25342.800000000003</v>
      </c>
      <c r="Q68" s="31">
        <v>712390.53333333344</v>
      </c>
      <c r="R68" s="33">
        <v>1413.7</v>
      </c>
      <c r="S68" s="31">
        <f t="shared" si="5"/>
        <v>739147.03333333344</v>
      </c>
      <c r="T68" s="35">
        <f t="shared" si="6"/>
        <v>947847.96666666679</v>
      </c>
      <c r="U68" s="31">
        <f t="shared" si="7"/>
        <v>1203602.8666666667</v>
      </c>
    </row>
    <row r="69" spans="1:21" s="37" customFormat="1" ht="15.75">
      <c r="A69" s="30">
        <v>41334</v>
      </c>
      <c r="B69" s="31">
        <v>48746.900000000081</v>
      </c>
      <c r="C69" s="31">
        <v>149107.00000000003</v>
      </c>
      <c r="D69" s="31">
        <v>-24.299999999999997</v>
      </c>
      <c r="E69" s="31">
        <f t="shared" si="4"/>
        <v>197829.60000000012</v>
      </c>
      <c r="F69" s="32" t="s">
        <v>2</v>
      </c>
      <c r="G69" s="31">
        <v>47334.399999999994</v>
      </c>
      <c r="H69" s="31"/>
      <c r="I69" s="31">
        <v>18914.7</v>
      </c>
      <c r="J69" s="31">
        <v>112857.5</v>
      </c>
      <c r="K69" s="31">
        <v>292063.09999999998</v>
      </c>
      <c r="L69" s="33">
        <f t="shared" si="0"/>
        <v>471169.69999999995</v>
      </c>
      <c r="M69" s="34">
        <v>207006.84999999998</v>
      </c>
      <c r="N69" s="31">
        <v>23122.7</v>
      </c>
      <c r="O69" s="33">
        <f t="shared" si="1"/>
        <v>241040.14999999997</v>
      </c>
      <c r="P69" s="31">
        <v>27027.699999999997</v>
      </c>
      <c r="Q69" s="31">
        <v>720855.35</v>
      </c>
      <c r="R69" s="33">
        <v>1398.1999999999998</v>
      </c>
      <c r="S69" s="31">
        <f t="shared" si="5"/>
        <v>749281.24999999988</v>
      </c>
      <c r="T69" s="35">
        <f t="shared" si="6"/>
        <v>990321.39999999991</v>
      </c>
      <c r="U69" s="31">
        <f t="shared" si="7"/>
        <v>1188151</v>
      </c>
    </row>
    <row r="70" spans="1:21" s="37" customFormat="1" ht="15.75">
      <c r="A70" s="30">
        <v>41365</v>
      </c>
      <c r="B70" s="31">
        <v>44693.599999999977</v>
      </c>
      <c r="C70" s="31">
        <v>151956.90000000002</v>
      </c>
      <c r="D70" s="31">
        <v>-32.4</v>
      </c>
      <c r="E70" s="31">
        <f t="shared" si="4"/>
        <v>196618.1</v>
      </c>
      <c r="F70" s="32">
        <v>11186</v>
      </c>
      <c r="G70" s="31">
        <v>42558.399999999994</v>
      </c>
      <c r="H70" s="31"/>
      <c r="I70" s="31">
        <v>20646.400000000001</v>
      </c>
      <c r="J70" s="31">
        <v>111464.2</v>
      </c>
      <c r="K70" s="31">
        <v>291755.09999999998</v>
      </c>
      <c r="L70" s="33">
        <f t="shared" si="0"/>
        <v>477610.1</v>
      </c>
      <c r="M70" s="34">
        <v>182261.53333333333</v>
      </c>
      <c r="N70" s="31">
        <v>21146.5</v>
      </c>
      <c r="O70" s="33">
        <f t="shared" si="1"/>
        <v>274202.06666666665</v>
      </c>
      <c r="P70" s="31">
        <v>27609.899999999998</v>
      </c>
      <c r="Q70" s="31">
        <v>718491.16666666663</v>
      </c>
      <c r="R70" s="33">
        <v>1390.8</v>
      </c>
      <c r="S70" s="31">
        <f t="shared" si="5"/>
        <v>747491.8666666667</v>
      </c>
      <c r="T70" s="35">
        <f t="shared" si="6"/>
        <v>1021693.9333333333</v>
      </c>
      <c r="U70" s="31">
        <f t="shared" si="7"/>
        <v>1218312.0333333334</v>
      </c>
    </row>
    <row r="71" spans="1:21" s="37" customFormat="1" ht="15.75">
      <c r="A71" s="30">
        <v>41395</v>
      </c>
      <c r="B71" s="31">
        <v>64212.600000000035</v>
      </c>
      <c r="C71" s="31">
        <v>122148.50000000001</v>
      </c>
      <c r="D71" s="31">
        <v>-40.5</v>
      </c>
      <c r="E71" s="31">
        <f t="shared" si="4"/>
        <v>186320.60000000003</v>
      </c>
      <c r="F71" s="32" t="s">
        <v>2</v>
      </c>
      <c r="G71" s="31">
        <v>68342</v>
      </c>
      <c r="H71" s="31"/>
      <c r="I71" s="31">
        <v>16971.283299999999</v>
      </c>
      <c r="J71" s="31">
        <v>110070.9</v>
      </c>
      <c r="K71" s="31">
        <v>291446.90000000002</v>
      </c>
      <c r="L71" s="33">
        <f t="shared" ref="L71:L134" si="8">SUM(F71:K71)</f>
        <v>486831.0833</v>
      </c>
      <c r="M71" s="34">
        <v>199125.4167</v>
      </c>
      <c r="N71" s="31">
        <v>19112.000000000004</v>
      </c>
      <c r="O71" s="33">
        <f t="shared" ref="O71:O134" si="9">L71-M71-N71</f>
        <v>268593.6666</v>
      </c>
      <c r="P71" s="31">
        <v>28974.7</v>
      </c>
      <c r="Q71" s="31">
        <v>723068.18333333335</v>
      </c>
      <c r="R71" s="33">
        <v>1390.6999999999998</v>
      </c>
      <c r="S71" s="31">
        <f t="shared" si="5"/>
        <v>753433.58333333326</v>
      </c>
      <c r="T71" s="35">
        <f t="shared" si="6"/>
        <v>1022027.2499333333</v>
      </c>
      <c r="U71" s="31">
        <f t="shared" ref="U71:U102" si="10">T71+E71</f>
        <v>1208347.8499333332</v>
      </c>
    </row>
    <row r="72" spans="1:21" s="37" customFormat="1" ht="15.75">
      <c r="A72" s="30">
        <v>41426</v>
      </c>
      <c r="B72" s="31">
        <v>56965.400000000081</v>
      </c>
      <c r="C72" s="31">
        <v>101928.40000000002</v>
      </c>
      <c r="D72" s="31">
        <v>-48.599999999999994</v>
      </c>
      <c r="E72" s="31">
        <f t="shared" ref="E72:E135" si="11">SUM(B72:D72)</f>
        <v>158845.2000000001</v>
      </c>
      <c r="F72" s="32" t="s">
        <v>2</v>
      </c>
      <c r="G72" s="31">
        <v>70934.600000000006</v>
      </c>
      <c r="H72" s="31"/>
      <c r="I72" s="31">
        <v>18757.3</v>
      </c>
      <c r="J72" s="31">
        <v>108677.6</v>
      </c>
      <c r="K72" s="31">
        <v>291138.8</v>
      </c>
      <c r="L72" s="33">
        <f t="shared" si="8"/>
        <v>489508.3</v>
      </c>
      <c r="M72" s="34">
        <v>190482.9</v>
      </c>
      <c r="N72" s="31">
        <v>15910.9</v>
      </c>
      <c r="O72" s="33">
        <f t="shared" si="9"/>
        <v>283114.5</v>
      </c>
      <c r="P72" s="31">
        <v>30429.199999999997</v>
      </c>
      <c r="Q72" s="31">
        <v>726941.90000000014</v>
      </c>
      <c r="R72" s="33">
        <v>1401.7</v>
      </c>
      <c r="S72" s="31">
        <f t="shared" ref="S72:S80" si="12">SUM(P72:R72)</f>
        <v>758772.8</v>
      </c>
      <c r="T72" s="35">
        <f t="shared" si="6"/>
        <v>1041887.3</v>
      </c>
      <c r="U72" s="31">
        <f t="shared" si="10"/>
        <v>1200732.5000000002</v>
      </c>
    </row>
    <row r="73" spans="1:21" s="37" customFormat="1" ht="15.75">
      <c r="A73" s="30">
        <v>41456</v>
      </c>
      <c r="B73" s="31">
        <v>88260.70000000007</v>
      </c>
      <c r="C73" s="31">
        <v>97529.599999999977</v>
      </c>
      <c r="D73" s="31">
        <v>-56.699999999999996</v>
      </c>
      <c r="E73" s="31">
        <f t="shared" si="11"/>
        <v>185733.60000000003</v>
      </c>
      <c r="F73" s="32" t="s">
        <v>2</v>
      </c>
      <c r="G73" s="31">
        <v>100965.3</v>
      </c>
      <c r="H73" s="31"/>
      <c r="I73" s="31">
        <v>17433.3</v>
      </c>
      <c r="J73" s="31">
        <v>107284.3</v>
      </c>
      <c r="K73" s="31">
        <v>290830.7</v>
      </c>
      <c r="L73" s="33">
        <f t="shared" si="8"/>
        <v>516513.60000000003</v>
      </c>
      <c r="M73" s="34">
        <v>245464.6</v>
      </c>
      <c r="N73" s="31">
        <v>18379.300000000003</v>
      </c>
      <c r="O73" s="33">
        <f t="shared" si="9"/>
        <v>252669.7</v>
      </c>
      <c r="P73" s="31">
        <v>29921.149999999994</v>
      </c>
      <c r="Q73" s="31">
        <v>748005.86666666658</v>
      </c>
      <c r="R73" s="33">
        <v>1754.2</v>
      </c>
      <c r="S73" s="31">
        <f t="shared" si="12"/>
        <v>779681.21666666656</v>
      </c>
      <c r="T73" s="35">
        <f t="shared" si="6"/>
        <v>1032350.9166666665</v>
      </c>
      <c r="U73" s="31">
        <f t="shared" si="10"/>
        <v>1218084.5166666666</v>
      </c>
    </row>
    <row r="74" spans="1:21" s="37" customFormat="1" ht="15.75">
      <c r="A74" s="30">
        <v>41487</v>
      </c>
      <c r="B74" s="31">
        <v>79468.299999999988</v>
      </c>
      <c r="C74" s="31">
        <v>88537.200000000012</v>
      </c>
      <c r="D74" s="31">
        <v>-64.8</v>
      </c>
      <c r="E74" s="31">
        <f t="shared" si="11"/>
        <v>167940.7</v>
      </c>
      <c r="F74" s="32" t="s">
        <v>2</v>
      </c>
      <c r="G74" s="31">
        <v>96477.700000000012</v>
      </c>
      <c r="H74" s="31"/>
      <c r="I74" s="31">
        <v>24620.9</v>
      </c>
      <c r="J74" s="31">
        <v>107284.3</v>
      </c>
      <c r="K74" s="31">
        <v>290830.7</v>
      </c>
      <c r="L74" s="33">
        <f t="shared" si="8"/>
        <v>519213.60000000003</v>
      </c>
      <c r="M74" s="34">
        <v>197386.4</v>
      </c>
      <c r="N74" s="31">
        <v>19610.8</v>
      </c>
      <c r="O74" s="33">
        <f t="shared" si="9"/>
        <v>302216.40000000008</v>
      </c>
      <c r="P74" s="31">
        <v>31534.7</v>
      </c>
      <c r="Q74" s="31">
        <v>750770.33333333337</v>
      </c>
      <c r="R74" s="33">
        <v>1758.2</v>
      </c>
      <c r="S74" s="31">
        <f t="shared" si="12"/>
        <v>784063.23333333328</v>
      </c>
      <c r="T74" s="35">
        <f t="shared" si="6"/>
        <v>1086279.6333333333</v>
      </c>
      <c r="U74" s="31">
        <f t="shared" si="10"/>
        <v>1254220.3333333333</v>
      </c>
    </row>
    <row r="75" spans="1:21" s="37" customFormat="1" ht="15.75">
      <c r="A75" s="30">
        <v>41518</v>
      </c>
      <c r="B75" s="31">
        <v>78410.799999999988</v>
      </c>
      <c r="C75" s="31">
        <v>86375.500000000015</v>
      </c>
      <c r="D75" s="31">
        <v>-72.899999999999991</v>
      </c>
      <c r="E75" s="31">
        <f t="shared" si="11"/>
        <v>164713.4</v>
      </c>
      <c r="F75" s="32" t="s">
        <v>2</v>
      </c>
      <c r="G75" s="31">
        <v>104499.4</v>
      </c>
      <c r="H75" s="31"/>
      <c r="I75" s="31">
        <v>22464.7</v>
      </c>
      <c r="J75" s="31">
        <v>107284.3</v>
      </c>
      <c r="K75" s="31">
        <v>290214.40000000002</v>
      </c>
      <c r="L75" s="33">
        <f t="shared" si="8"/>
        <v>524462.80000000005</v>
      </c>
      <c r="M75" s="34">
        <v>213218.7</v>
      </c>
      <c r="N75" s="31">
        <v>21460.2</v>
      </c>
      <c r="O75" s="33">
        <f t="shared" si="9"/>
        <v>289783.90000000002</v>
      </c>
      <c r="P75" s="31">
        <v>36136.950000000004</v>
      </c>
      <c r="Q75" s="31">
        <v>759532.1</v>
      </c>
      <c r="R75" s="33">
        <v>2197.5</v>
      </c>
      <c r="S75" s="31">
        <f t="shared" si="12"/>
        <v>797866.54999999993</v>
      </c>
      <c r="T75" s="35">
        <f t="shared" si="6"/>
        <v>1087650.45</v>
      </c>
      <c r="U75" s="31">
        <f t="shared" si="10"/>
        <v>1252363.8499999999</v>
      </c>
    </row>
    <row r="76" spans="1:21" s="37" customFormat="1" ht="15.75">
      <c r="A76" s="30">
        <v>41548</v>
      </c>
      <c r="B76" s="31">
        <v>98627.299999999988</v>
      </c>
      <c r="C76" s="31">
        <v>90134.000000000058</v>
      </c>
      <c r="D76" s="31">
        <v>-81</v>
      </c>
      <c r="E76" s="31">
        <f t="shared" si="11"/>
        <v>188680.30000000005</v>
      </c>
      <c r="F76" s="32">
        <v>6525.5</v>
      </c>
      <c r="G76" s="31">
        <v>108413.2</v>
      </c>
      <c r="H76" s="31"/>
      <c r="I76" s="31">
        <v>17531.800000000003</v>
      </c>
      <c r="J76" s="31">
        <v>107284.3</v>
      </c>
      <c r="K76" s="31">
        <v>289906.3</v>
      </c>
      <c r="L76" s="33">
        <f t="shared" si="8"/>
        <v>529661.1</v>
      </c>
      <c r="M76" s="34">
        <v>215330.6</v>
      </c>
      <c r="N76" s="31">
        <v>21130.1</v>
      </c>
      <c r="O76" s="33">
        <f t="shared" si="9"/>
        <v>293200.40000000002</v>
      </c>
      <c r="P76" s="31">
        <v>35876.800000000003</v>
      </c>
      <c r="Q76" s="31">
        <v>753419.66666666674</v>
      </c>
      <c r="R76" s="33">
        <v>2357.1999999999998</v>
      </c>
      <c r="S76" s="31">
        <f t="shared" si="12"/>
        <v>791653.66666666674</v>
      </c>
      <c r="T76" s="35">
        <f t="shared" si="6"/>
        <v>1084854.0666666669</v>
      </c>
      <c r="U76" s="31">
        <f t="shared" si="10"/>
        <v>1273534.3666666669</v>
      </c>
    </row>
    <row r="77" spans="1:21" s="37" customFormat="1" ht="15.75">
      <c r="A77" s="30">
        <v>41579</v>
      </c>
      <c r="B77" s="31">
        <v>81256.100000000093</v>
      </c>
      <c r="C77" s="31">
        <v>95735.2</v>
      </c>
      <c r="D77" s="31">
        <v>-89.1</v>
      </c>
      <c r="E77" s="31">
        <f t="shared" si="11"/>
        <v>176902.2000000001</v>
      </c>
      <c r="F77" s="32">
        <v>20947.400000000001</v>
      </c>
      <c r="G77" s="31">
        <v>107312.8</v>
      </c>
      <c r="H77" s="31"/>
      <c r="I77" s="31">
        <v>22148</v>
      </c>
      <c r="J77" s="31">
        <v>107284.3</v>
      </c>
      <c r="K77" s="31">
        <v>289906.3</v>
      </c>
      <c r="L77" s="33">
        <f t="shared" si="8"/>
        <v>547598.80000000005</v>
      </c>
      <c r="M77" s="34">
        <v>218783.4</v>
      </c>
      <c r="N77" s="31">
        <v>24576.5</v>
      </c>
      <c r="O77" s="33">
        <f t="shared" si="9"/>
        <v>304238.90000000002</v>
      </c>
      <c r="P77" s="31">
        <v>35971.050000000003</v>
      </c>
      <c r="Q77" s="31">
        <v>749695.63333333342</v>
      </c>
      <c r="R77" s="33">
        <v>2366.6</v>
      </c>
      <c r="S77" s="31">
        <f t="shared" si="12"/>
        <v>788033.28333333344</v>
      </c>
      <c r="T77" s="35">
        <f t="shared" si="6"/>
        <v>1092272.1833333336</v>
      </c>
      <c r="U77" s="31">
        <f t="shared" si="10"/>
        <v>1269174.3833333338</v>
      </c>
    </row>
    <row r="78" spans="1:21" s="37" customFormat="1" ht="15.75">
      <c r="A78" s="30">
        <v>41609</v>
      </c>
      <c r="B78" s="31">
        <v>118133.79999999993</v>
      </c>
      <c r="C78" s="31">
        <v>111622.29999999997</v>
      </c>
      <c r="D78" s="31">
        <v>-97.2</v>
      </c>
      <c r="E78" s="31">
        <f t="shared" si="11"/>
        <v>229658.89999999991</v>
      </c>
      <c r="F78" s="32" t="s">
        <v>2</v>
      </c>
      <c r="G78" s="31">
        <v>109019.90000000001</v>
      </c>
      <c r="H78" s="31"/>
      <c r="I78" s="31">
        <v>18506.300000000003</v>
      </c>
      <c r="J78" s="31">
        <v>107284.3</v>
      </c>
      <c r="K78" s="31">
        <v>289290</v>
      </c>
      <c r="L78" s="33">
        <f t="shared" si="8"/>
        <v>524100.5</v>
      </c>
      <c r="M78" s="34">
        <v>227012.90000000002</v>
      </c>
      <c r="N78" s="31">
        <v>23790.1</v>
      </c>
      <c r="O78" s="33">
        <f t="shared" si="9"/>
        <v>273297.5</v>
      </c>
      <c r="P78" s="31">
        <v>36129.5</v>
      </c>
      <c r="Q78" s="31">
        <v>743181.20000000019</v>
      </c>
      <c r="R78" s="33">
        <v>2469.1999999999998</v>
      </c>
      <c r="S78" s="31">
        <f t="shared" si="12"/>
        <v>781779.90000000014</v>
      </c>
      <c r="T78" s="35">
        <f t="shared" si="6"/>
        <v>1055077.4000000001</v>
      </c>
      <c r="U78" s="31">
        <f t="shared" si="10"/>
        <v>1284736.3</v>
      </c>
    </row>
    <row r="79" spans="1:21" s="37" customFormat="1" ht="15.75">
      <c r="A79" s="30">
        <v>41640</v>
      </c>
      <c r="B79" s="38">
        <v>102196.30000000005</v>
      </c>
      <c r="C79" s="38">
        <v>112713.69999999998</v>
      </c>
      <c r="D79" s="38">
        <v>-97.183333333333337</v>
      </c>
      <c r="E79" s="31">
        <f t="shared" si="11"/>
        <v>214812.81666666671</v>
      </c>
      <c r="F79" s="32" t="s">
        <v>2</v>
      </c>
      <c r="G79" s="38">
        <v>108779.50000000001</v>
      </c>
      <c r="H79" s="31"/>
      <c r="I79" s="31">
        <v>15342.7</v>
      </c>
      <c r="J79" s="31">
        <v>107284.3</v>
      </c>
      <c r="K79" s="31">
        <v>289290</v>
      </c>
      <c r="L79" s="33">
        <f t="shared" si="8"/>
        <v>520696.5</v>
      </c>
      <c r="M79" s="34">
        <v>234401.17500000002</v>
      </c>
      <c r="N79" s="31">
        <v>23611.000000000004</v>
      </c>
      <c r="O79" s="33">
        <f t="shared" si="9"/>
        <v>262684.32499999995</v>
      </c>
      <c r="P79" s="38">
        <v>36088.483333333337</v>
      </c>
      <c r="Q79" s="38">
        <v>750575.02499999991</v>
      </c>
      <c r="R79" s="33">
        <v>2774.6000000000004</v>
      </c>
      <c r="S79" s="31">
        <f t="shared" si="12"/>
        <v>789438.10833333328</v>
      </c>
      <c r="T79" s="35">
        <f t="shared" si="6"/>
        <v>1052122.4333333331</v>
      </c>
      <c r="U79" s="31">
        <f t="shared" si="10"/>
        <v>1266935.2499999998</v>
      </c>
    </row>
    <row r="80" spans="1:21" s="37" customFormat="1" ht="15.75">
      <c r="A80" s="30">
        <v>41671</v>
      </c>
      <c r="B80" s="38">
        <v>91139.900000000023</v>
      </c>
      <c r="C80" s="38">
        <v>138740.90000000002</v>
      </c>
      <c r="D80" s="38">
        <v>-97.166666666666671</v>
      </c>
      <c r="E80" s="31">
        <f t="shared" si="11"/>
        <v>229783.63333333339</v>
      </c>
      <c r="F80" s="32" t="s">
        <v>2</v>
      </c>
      <c r="G80" s="38">
        <v>112164</v>
      </c>
      <c r="H80" s="31"/>
      <c r="I80" s="31">
        <v>17035.8</v>
      </c>
      <c r="J80" s="31">
        <v>107284.3</v>
      </c>
      <c r="K80" s="31">
        <v>288673.7</v>
      </c>
      <c r="L80" s="33">
        <f t="shared" si="8"/>
        <v>525157.80000000005</v>
      </c>
      <c r="M80" s="34">
        <v>242509.65</v>
      </c>
      <c r="N80" s="31">
        <v>21791.600000000002</v>
      </c>
      <c r="O80" s="33">
        <f t="shared" si="9"/>
        <v>260856.55000000002</v>
      </c>
      <c r="P80" s="38">
        <v>36003.366666666669</v>
      </c>
      <c r="Q80" s="38">
        <v>755007.05</v>
      </c>
      <c r="R80" s="33">
        <v>3027.3</v>
      </c>
      <c r="S80" s="31">
        <f t="shared" si="12"/>
        <v>794037.71666666679</v>
      </c>
      <c r="T80" s="35">
        <f t="shared" si="6"/>
        <v>1054894.2666666668</v>
      </c>
      <c r="U80" s="31">
        <f t="shared" si="10"/>
        <v>1284677.9000000001</v>
      </c>
    </row>
    <row r="81" spans="1:21" s="37" customFormat="1" ht="15.75">
      <c r="A81" s="30">
        <v>41699</v>
      </c>
      <c r="B81" s="38">
        <v>95018.600000000035</v>
      </c>
      <c r="C81" s="38">
        <v>115929.5</v>
      </c>
      <c r="D81" s="38">
        <v>-97.15</v>
      </c>
      <c r="E81" s="31">
        <f t="shared" si="11"/>
        <v>210850.95000000004</v>
      </c>
      <c r="F81" s="32">
        <v>8513</v>
      </c>
      <c r="G81" s="38">
        <v>108771.9</v>
      </c>
      <c r="H81" s="31"/>
      <c r="I81" s="31">
        <v>13380.9</v>
      </c>
      <c r="J81" s="31">
        <v>107284.3</v>
      </c>
      <c r="K81" s="31">
        <v>288673.7</v>
      </c>
      <c r="L81" s="33">
        <f t="shared" si="8"/>
        <v>526623.80000000005</v>
      </c>
      <c r="M81" s="34">
        <v>226231.92499999999</v>
      </c>
      <c r="N81" s="31">
        <v>17505.000000000004</v>
      </c>
      <c r="O81" s="33">
        <f t="shared" si="9"/>
        <v>282886.87500000006</v>
      </c>
      <c r="P81" s="38">
        <v>35670.550000000003</v>
      </c>
      <c r="Q81" s="38">
        <v>743101.375</v>
      </c>
      <c r="R81" s="33">
        <v>3128.7000000000003</v>
      </c>
      <c r="S81" s="31">
        <f t="shared" ref="S81:S138" si="13">SUM(P81:R81)</f>
        <v>781900.625</v>
      </c>
      <c r="T81" s="35">
        <f t="shared" si="6"/>
        <v>1064787.5</v>
      </c>
      <c r="U81" s="31">
        <f t="shared" si="10"/>
        <v>1275638.45</v>
      </c>
    </row>
    <row r="82" spans="1:21" s="37" customFormat="1" ht="15.75">
      <c r="A82" s="30">
        <v>41730</v>
      </c>
      <c r="B82" s="38">
        <v>95155.499999999942</v>
      </c>
      <c r="C82" s="38">
        <v>119186.49999999999</v>
      </c>
      <c r="D82" s="38">
        <v>-97.133333333333326</v>
      </c>
      <c r="E82" s="31">
        <f t="shared" si="11"/>
        <v>214244.86666666661</v>
      </c>
      <c r="F82" s="32">
        <v>14256.4</v>
      </c>
      <c r="G82" s="38">
        <v>137931.09999999998</v>
      </c>
      <c r="H82" s="31"/>
      <c r="I82" s="31">
        <v>18226.099999999999</v>
      </c>
      <c r="J82" s="31">
        <v>107284.3</v>
      </c>
      <c r="K82" s="31">
        <v>288365.59999999998</v>
      </c>
      <c r="L82" s="33">
        <f t="shared" si="8"/>
        <v>566063.5</v>
      </c>
      <c r="M82" s="34">
        <v>216953.09999999998</v>
      </c>
      <c r="N82" s="31">
        <v>16806.800000000003</v>
      </c>
      <c r="O82" s="33">
        <f t="shared" si="9"/>
        <v>332303.60000000003</v>
      </c>
      <c r="P82" s="38">
        <v>35870.433333333342</v>
      </c>
      <c r="Q82" s="38">
        <v>746533.09999999986</v>
      </c>
      <c r="R82" s="33">
        <v>3057.1000000000004</v>
      </c>
      <c r="S82" s="31">
        <f t="shared" si="13"/>
        <v>785460.63333333319</v>
      </c>
      <c r="T82" s="35">
        <f t="shared" si="6"/>
        <v>1117764.2333333332</v>
      </c>
      <c r="U82" s="31">
        <f t="shared" si="10"/>
        <v>1332009.0999999999</v>
      </c>
    </row>
    <row r="83" spans="1:21" s="37" customFormat="1" ht="15.75">
      <c r="A83" s="30">
        <v>41760</v>
      </c>
      <c r="B83" s="38">
        <v>85924</v>
      </c>
      <c r="C83" s="38">
        <v>97861.60000000002</v>
      </c>
      <c r="D83" s="38">
        <v>-97.11666666666666</v>
      </c>
      <c r="E83" s="31">
        <f t="shared" si="11"/>
        <v>183688.48333333337</v>
      </c>
      <c r="F83" s="32">
        <v>16076.5</v>
      </c>
      <c r="G83" s="38">
        <v>131083.79999999999</v>
      </c>
      <c r="H83" s="31"/>
      <c r="I83" s="31">
        <v>15870.5</v>
      </c>
      <c r="J83" s="31">
        <v>107284.3</v>
      </c>
      <c r="K83" s="31">
        <v>287749.3</v>
      </c>
      <c r="L83" s="33">
        <f t="shared" si="8"/>
        <v>558064.39999999991</v>
      </c>
      <c r="M83" s="34">
        <v>200333.77500000002</v>
      </c>
      <c r="N83" s="31">
        <v>12657.699999999999</v>
      </c>
      <c r="O83" s="33">
        <f t="shared" si="9"/>
        <v>345072.92499999987</v>
      </c>
      <c r="P83" s="38">
        <v>38343.216666666674</v>
      </c>
      <c r="Q83" s="38">
        <v>749613.22499999986</v>
      </c>
      <c r="R83" s="33">
        <v>3066.6000000000004</v>
      </c>
      <c r="S83" s="31">
        <f t="shared" si="13"/>
        <v>791023.04166666651</v>
      </c>
      <c r="T83" s="35">
        <f t="shared" si="6"/>
        <v>1136095.9666666663</v>
      </c>
      <c r="U83" s="31">
        <f t="shared" si="10"/>
        <v>1319784.4499999997</v>
      </c>
    </row>
    <row r="84" spans="1:21" s="37" customFormat="1" ht="15.75">
      <c r="A84" s="30">
        <v>41791</v>
      </c>
      <c r="B84" s="38">
        <v>89071.500000000116</v>
      </c>
      <c r="C84" s="38">
        <v>95701.300000000032</v>
      </c>
      <c r="D84" s="38">
        <v>-97.1</v>
      </c>
      <c r="E84" s="31">
        <f t="shared" si="11"/>
        <v>184675.70000000016</v>
      </c>
      <c r="F84" s="32">
        <v>39309.599999999999</v>
      </c>
      <c r="G84" s="38">
        <v>134209.09999999998</v>
      </c>
      <c r="H84" s="31"/>
      <c r="I84" s="31">
        <v>19161.199999999997</v>
      </c>
      <c r="J84" s="31">
        <v>107284.3</v>
      </c>
      <c r="K84" s="31">
        <v>287441.19999999995</v>
      </c>
      <c r="L84" s="33">
        <f t="shared" si="8"/>
        <v>587405.39999999991</v>
      </c>
      <c r="M84" s="34">
        <v>210539.85</v>
      </c>
      <c r="N84" s="31">
        <v>17287.8</v>
      </c>
      <c r="O84" s="33">
        <f t="shared" si="9"/>
        <v>359577.74999999994</v>
      </c>
      <c r="P84" s="38">
        <v>41979.700000000004</v>
      </c>
      <c r="Q84" s="38">
        <v>766726.45000000007</v>
      </c>
      <c r="R84" s="33">
        <v>3154.2</v>
      </c>
      <c r="S84" s="31">
        <f t="shared" si="13"/>
        <v>811860.35</v>
      </c>
      <c r="T84" s="35">
        <f t="shared" si="6"/>
        <v>1171438.0999999999</v>
      </c>
      <c r="U84" s="31">
        <f t="shared" si="10"/>
        <v>1356113.8</v>
      </c>
    </row>
    <row r="85" spans="1:21" s="37" customFormat="1" ht="15.75">
      <c r="A85" s="30">
        <v>41821</v>
      </c>
      <c r="B85" s="38">
        <v>70600.399999999965</v>
      </c>
      <c r="C85" s="38">
        <v>121995.19999999998</v>
      </c>
      <c r="D85" s="38">
        <v>-89.016666666666666</v>
      </c>
      <c r="E85" s="31">
        <f t="shared" si="11"/>
        <v>192506.58333333328</v>
      </c>
      <c r="F85" s="32">
        <v>52779.8</v>
      </c>
      <c r="G85" s="38">
        <v>136756.6</v>
      </c>
      <c r="H85" s="31"/>
      <c r="I85" s="31">
        <v>22483.550000000003</v>
      </c>
      <c r="J85" s="31">
        <v>107284.3</v>
      </c>
      <c r="K85" s="31">
        <v>287441.19999999995</v>
      </c>
      <c r="L85" s="33">
        <f t="shared" si="8"/>
        <v>606745.44999999995</v>
      </c>
      <c r="M85" s="34">
        <v>202970.35833333334</v>
      </c>
      <c r="N85" s="31">
        <v>17393.5</v>
      </c>
      <c r="O85" s="33">
        <f t="shared" si="9"/>
        <v>386381.59166666662</v>
      </c>
      <c r="P85" s="38">
        <v>46379.933333333327</v>
      </c>
      <c r="Q85" s="38">
        <v>774029.6083333334</v>
      </c>
      <c r="R85" s="33">
        <v>3132.7999999999997</v>
      </c>
      <c r="S85" s="31">
        <f t="shared" si="13"/>
        <v>823542.34166666679</v>
      </c>
      <c r="T85" s="35">
        <f t="shared" si="6"/>
        <v>1209923.9333333333</v>
      </c>
      <c r="U85" s="31">
        <f t="shared" si="10"/>
        <v>1402430.5166666666</v>
      </c>
    </row>
    <row r="86" spans="1:21" s="37" customFormat="1" ht="15.75">
      <c r="A86" s="30">
        <v>41852</v>
      </c>
      <c r="B86" s="38">
        <v>82609.899999999965</v>
      </c>
      <c r="C86" s="38">
        <v>68447.799999999974</v>
      </c>
      <c r="D86" s="38">
        <v>-80.933333333333337</v>
      </c>
      <c r="E86" s="31">
        <f t="shared" si="11"/>
        <v>150976.76666666663</v>
      </c>
      <c r="F86" s="32">
        <v>43358.6</v>
      </c>
      <c r="G86" s="38">
        <v>157164.6</v>
      </c>
      <c r="H86" s="31"/>
      <c r="I86" s="31">
        <v>22709.600000000002</v>
      </c>
      <c r="J86" s="31">
        <v>107284.3</v>
      </c>
      <c r="K86" s="31">
        <v>286825</v>
      </c>
      <c r="L86" s="33">
        <f t="shared" si="8"/>
        <v>617342.10000000009</v>
      </c>
      <c r="M86" s="34">
        <v>197053.01111111112</v>
      </c>
      <c r="N86" s="31">
        <v>19854.8</v>
      </c>
      <c r="O86" s="33">
        <f t="shared" si="9"/>
        <v>400434.28888888896</v>
      </c>
      <c r="P86" s="38">
        <v>46409.666666666664</v>
      </c>
      <c r="Q86" s="38">
        <v>793456.26666666672</v>
      </c>
      <c r="R86" s="33">
        <v>3150.2999999999997</v>
      </c>
      <c r="S86" s="31">
        <f t="shared" si="13"/>
        <v>843016.2333333334</v>
      </c>
      <c r="T86" s="35">
        <f t="shared" si="6"/>
        <v>1243450.5222222223</v>
      </c>
      <c r="U86" s="31">
        <f t="shared" si="10"/>
        <v>1394427.2888888889</v>
      </c>
    </row>
    <row r="87" spans="1:21" s="37" customFormat="1" ht="15.75">
      <c r="A87" s="30">
        <v>41883</v>
      </c>
      <c r="B87" s="38">
        <v>142837.30000000005</v>
      </c>
      <c r="C87" s="38">
        <v>70021.499999999971</v>
      </c>
      <c r="D87" s="38">
        <v>-72.849999999999994</v>
      </c>
      <c r="E87" s="31">
        <f t="shared" si="11"/>
        <v>212785.95</v>
      </c>
      <c r="F87" s="32">
        <v>27300.1</v>
      </c>
      <c r="G87" s="38">
        <v>151516.40000000002</v>
      </c>
      <c r="H87" s="31"/>
      <c r="I87" s="31">
        <v>22821.449999999997</v>
      </c>
      <c r="J87" s="31">
        <v>107284.3</v>
      </c>
      <c r="K87" s="31">
        <v>286825</v>
      </c>
      <c r="L87" s="33">
        <f t="shared" si="8"/>
        <v>595747.25</v>
      </c>
      <c r="M87" s="34">
        <v>278447.73611111112</v>
      </c>
      <c r="N87" s="31">
        <v>25072.2</v>
      </c>
      <c r="O87" s="33">
        <f t="shared" si="9"/>
        <v>292227.31388888886</v>
      </c>
      <c r="P87" s="38">
        <v>44045.2</v>
      </c>
      <c r="Q87" s="38">
        <v>785180.62499999988</v>
      </c>
      <c r="R87" s="33">
        <v>3642.8999999999996</v>
      </c>
      <c r="S87" s="31">
        <f t="shared" si="13"/>
        <v>832868.72499999986</v>
      </c>
      <c r="T87" s="35">
        <f t="shared" si="6"/>
        <v>1125096.0388888887</v>
      </c>
      <c r="U87" s="31">
        <f t="shared" si="10"/>
        <v>1337881.9888888886</v>
      </c>
    </row>
    <row r="88" spans="1:21" s="37" customFormat="1" ht="15.75">
      <c r="A88" s="30">
        <v>41913</v>
      </c>
      <c r="B88" s="38">
        <v>138959.60000000009</v>
      </c>
      <c r="C88" s="38">
        <v>64215.799999999974</v>
      </c>
      <c r="D88" s="38">
        <v>-64.766666666666666</v>
      </c>
      <c r="E88" s="31">
        <f t="shared" si="11"/>
        <v>203110.63333333342</v>
      </c>
      <c r="F88" s="32">
        <v>74347</v>
      </c>
      <c r="G88" s="38">
        <v>146788.6</v>
      </c>
      <c r="H88" s="31"/>
      <c r="I88" s="31">
        <v>22390.1</v>
      </c>
      <c r="J88" s="31">
        <v>107284.3</v>
      </c>
      <c r="K88" s="31">
        <v>286516.8</v>
      </c>
      <c r="L88" s="33">
        <f t="shared" si="8"/>
        <v>637326.80000000005</v>
      </c>
      <c r="M88" s="34">
        <v>245816.67592592593</v>
      </c>
      <c r="N88" s="31">
        <v>29509.200000000001</v>
      </c>
      <c r="O88" s="33">
        <f t="shared" si="9"/>
        <v>362000.92407407408</v>
      </c>
      <c r="P88" s="38">
        <v>41628.933333333334</v>
      </c>
      <c r="Q88" s="38">
        <v>790875.81666666653</v>
      </c>
      <c r="R88" s="33">
        <v>3691</v>
      </c>
      <c r="S88" s="31">
        <f t="shared" si="13"/>
        <v>836195.74999999988</v>
      </c>
      <c r="T88" s="35">
        <f t="shared" si="6"/>
        <v>1198196.674074074</v>
      </c>
      <c r="U88" s="31">
        <f t="shared" si="10"/>
        <v>1401307.3074074076</v>
      </c>
    </row>
    <row r="89" spans="1:21" s="37" customFormat="1" ht="15.75">
      <c r="A89" s="30">
        <v>41944</v>
      </c>
      <c r="B89" s="38">
        <v>134061.10000000009</v>
      </c>
      <c r="C89" s="38">
        <v>57822.8</v>
      </c>
      <c r="D89" s="38">
        <v>-56.683333333333337</v>
      </c>
      <c r="E89" s="31">
        <f t="shared" si="11"/>
        <v>191827.21666666676</v>
      </c>
      <c r="F89" s="32">
        <v>41502.5</v>
      </c>
      <c r="G89" s="38">
        <v>154082.5</v>
      </c>
      <c r="H89" s="31"/>
      <c r="I89" s="31">
        <v>18601.55</v>
      </c>
      <c r="J89" s="31">
        <v>106976.2</v>
      </c>
      <c r="K89" s="31">
        <v>286208.59999999998</v>
      </c>
      <c r="L89" s="33">
        <f t="shared" si="8"/>
        <v>607371.35</v>
      </c>
      <c r="M89" s="34">
        <v>246149.85895061732</v>
      </c>
      <c r="N89" s="31">
        <v>31987.8</v>
      </c>
      <c r="O89" s="33">
        <f t="shared" si="9"/>
        <v>329233.69104938267</v>
      </c>
      <c r="P89" s="38">
        <v>40555.466666666667</v>
      </c>
      <c r="Q89" s="38">
        <v>800124.2972222222</v>
      </c>
      <c r="R89" s="33">
        <v>3607.1</v>
      </c>
      <c r="S89" s="31">
        <f t="shared" si="13"/>
        <v>844286.86388888885</v>
      </c>
      <c r="T89" s="35">
        <f t="shared" si="6"/>
        <v>1173520.5549382716</v>
      </c>
      <c r="U89" s="31">
        <f t="shared" si="10"/>
        <v>1365347.7716049384</v>
      </c>
    </row>
    <row r="90" spans="1:21" s="37" customFormat="1" ht="15.75">
      <c r="A90" s="30">
        <v>41974</v>
      </c>
      <c r="B90" s="38">
        <v>128675.89999999997</v>
      </c>
      <c r="C90" s="38">
        <v>51849.400000000023</v>
      </c>
      <c r="D90" s="38">
        <v>-48.6</v>
      </c>
      <c r="E90" s="31">
        <f t="shared" si="11"/>
        <v>180476.69999999998</v>
      </c>
      <c r="F90" s="32">
        <v>55186.9</v>
      </c>
      <c r="G90" s="38">
        <v>147702.70000000001</v>
      </c>
      <c r="H90" s="31"/>
      <c r="I90" s="31">
        <v>49269.8</v>
      </c>
      <c r="J90" s="31">
        <v>106976.2</v>
      </c>
      <c r="K90" s="31">
        <v>285900.5</v>
      </c>
      <c r="L90" s="33">
        <f t="shared" si="8"/>
        <v>645036.10000000009</v>
      </c>
      <c r="M90" s="34">
        <v>238856.59999999998</v>
      </c>
      <c r="N90" s="31">
        <v>23004.400000000001</v>
      </c>
      <c r="O90" s="33">
        <f t="shared" si="9"/>
        <v>383175.10000000009</v>
      </c>
      <c r="P90" s="38">
        <v>40818.700000000004</v>
      </c>
      <c r="Q90" s="38">
        <v>814694.39999999991</v>
      </c>
      <c r="R90" s="33">
        <v>3449.2999999999997</v>
      </c>
      <c r="S90" s="31">
        <f t="shared" si="13"/>
        <v>858962.39999999991</v>
      </c>
      <c r="T90" s="35">
        <f t="shared" si="6"/>
        <v>1242137.5</v>
      </c>
      <c r="U90" s="31">
        <f t="shared" si="10"/>
        <v>1422614.2</v>
      </c>
    </row>
    <row r="91" spans="1:21" s="37" customFormat="1" ht="15.75">
      <c r="A91" s="30">
        <v>42005</v>
      </c>
      <c r="B91" s="32">
        <v>127066.10000000003</v>
      </c>
      <c r="C91" s="32">
        <v>48113.699999999983</v>
      </c>
      <c r="D91" s="32">
        <v>-40.5</v>
      </c>
      <c r="E91" s="31">
        <f t="shared" si="11"/>
        <v>175139.30000000002</v>
      </c>
      <c r="F91" s="32">
        <v>22472.2</v>
      </c>
      <c r="G91" s="32">
        <v>157245.1</v>
      </c>
      <c r="H91" s="32"/>
      <c r="I91" s="31">
        <v>50691.9</v>
      </c>
      <c r="J91" s="32">
        <v>106976.2</v>
      </c>
      <c r="K91" s="32">
        <v>285900.5</v>
      </c>
      <c r="L91" s="33">
        <f t="shared" si="8"/>
        <v>623285.9</v>
      </c>
      <c r="M91" s="32">
        <v>236855.05</v>
      </c>
      <c r="N91" s="31">
        <v>23585.300000000003</v>
      </c>
      <c r="O91" s="33">
        <f t="shared" si="9"/>
        <v>362845.55000000005</v>
      </c>
      <c r="P91" s="38">
        <v>34865.033333333333</v>
      </c>
      <c r="Q91" s="33">
        <v>814769.25</v>
      </c>
      <c r="R91" s="33">
        <v>3291.2000000000003</v>
      </c>
      <c r="S91" s="31">
        <f t="shared" si="13"/>
        <v>852925.48333333328</v>
      </c>
      <c r="T91" s="35">
        <f t="shared" si="6"/>
        <v>1215771.0333333332</v>
      </c>
      <c r="U91" s="31">
        <f t="shared" si="10"/>
        <v>1390910.3333333333</v>
      </c>
    </row>
    <row r="92" spans="1:21" s="37" customFormat="1" ht="15.75">
      <c r="A92" s="30">
        <v>42036</v>
      </c>
      <c r="B92" s="32">
        <v>122551.00000000006</v>
      </c>
      <c r="C92" s="32">
        <v>30084.300000000017</v>
      </c>
      <c r="D92" s="32">
        <v>-32.400000000000006</v>
      </c>
      <c r="E92" s="31">
        <f t="shared" si="11"/>
        <v>152602.90000000008</v>
      </c>
      <c r="F92" s="32">
        <v>72202.7</v>
      </c>
      <c r="G92" s="32">
        <v>140827.20000000001</v>
      </c>
      <c r="H92" s="32"/>
      <c r="I92" s="31">
        <v>53460.700000000004</v>
      </c>
      <c r="J92" s="32">
        <v>105891</v>
      </c>
      <c r="K92" s="32">
        <v>284644.40000000002</v>
      </c>
      <c r="L92" s="33">
        <f t="shared" si="8"/>
        <v>657026</v>
      </c>
      <c r="M92" s="32">
        <v>234965.2</v>
      </c>
      <c r="N92" s="31">
        <v>26721.800000000003</v>
      </c>
      <c r="O92" s="33">
        <f t="shared" si="9"/>
        <v>395339</v>
      </c>
      <c r="P92" s="38">
        <v>27562.966666666667</v>
      </c>
      <c r="Q92" s="33">
        <v>812510.39999999991</v>
      </c>
      <c r="R92" s="33">
        <v>3220</v>
      </c>
      <c r="S92" s="31">
        <f t="shared" si="13"/>
        <v>843293.36666666658</v>
      </c>
      <c r="T92" s="35">
        <f t="shared" si="6"/>
        <v>1238632.3666666667</v>
      </c>
      <c r="U92" s="31">
        <f t="shared" si="10"/>
        <v>1391235.2666666668</v>
      </c>
    </row>
    <row r="93" spans="1:21" s="37" customFormat="1" ht="15.75">
      <c r="A93" s="30">
        <v>42064</v>
      </c>
      <c r="B93" s="32">
        <v>115526.40000000002</v>
      </c>
      <c r="C93" s="32">
        <v>45364.599999999977</v>
      </c>
      <c r="D93" s="32">
        <v>-24.300000000000004</v>
      </c>
      <c r="E93" s="31">
        <f t="shared" si="11"/>
        <v>160866.70000000001</v>
      </c>
      <c r="F93" s="32">
        <v>23590.1</v>
      </c>
      <c r="G93" s="32">
        <v>156652.5</v>
      </c>
      <c r="H93" s="32"/>
      <c r="I93" s="31">
        <v>51794.399999999994</v>
      </c>
      <c r="J93" s="32">
        <v>104166</v>
      </c>
      <c r="K93" s="32">
        <v>284644.40000000002</v>
      </c>
      <c r="L93" s="33">
        <f t="shared" si="8"/>
        <v>620847.4</v>
      </c>
      <c r="M93" s="32">
        <v>247417.85000000003</v>
      </c>
      <c r="N93" s="31">
        <v>29000.600000000002</v>
      </c>
      <c r="O93" s="33">
        <f t="shared" si="9"/>
        <v>344428.95</v>
      </c>
      <c r="P93" s="38">
        <v>22882</v>
      </c>
      <c r="Q93" s="33">
        <v>819545.25</v>
      </c>
      <c r="R93" s="33">
        <v>3910.9</v>
      </c>
      <c r="S93" s="31">
        <f t="shared" si="13"/>
        <v>846338.15</v>
      </c>
      <c r="T93" s="35">
        <f t="shared" si="6"/>
        <v>1190767.1000000001</v>
      </c>
      <c r="U93" s="31">
        <f t="shared" si="10"/>
        <v>1351633.8</v>
      </c>
    </row>
    <row r="94" spans="1:21" s="37" customFormat="1" ht="15.75">
      <c r="A94" s="30">
        <v>42095</v>
      </c>
      <c r="B94" s="32">
        <v>93523.400000000081</v>
      </c>
      <c r="C94" s="32">
        <v>54537.899999999994</v>
      </c>
      <c r="D94" s="32">
        <v>-16.200000000000003</v>
      </c>
      <c r="E94" s="31">
        <f t="shared" si="11"/>
        <v>148045.10000000006</v>
      </c>
      <c r="F94" s="32">
        <v>54107.7</v>
      </c>
      <c r="G94" s="32">
        <v>152931.6</v>
      </c>
      <c r="H94" s="32"/>
      <c r="I94" s="31">
        <v>47698.899999999994</v>
      </c>
      <c r="J94" s="32">
        <v>102772.7</v>
      </c>
      <c r="K94" s="32">
        <v>284004.5</v>
      </c>
      <c r="L94" s="33">
        <f t="shared" si="8"/>
        <v>641515.39999999991</v>
      </c>
      <c r="M94" s="32">
        <v>234550.90000000002</v>
      </c>
      <c r="N94" s="31">
        <v>27853.399999999998</v>
      </c>
      <c r="O94" s="33">
        <f t="shared" si="9"/>
        <v>379111.09999999986</v>
      </c>
      <c r="P94" s="38">
        <v>20248.833333333332</v>
      </c>
      <c r="Q94" s="33">
        <v>839791.5</v>
      </c>
      <c r="R94" s="33">
        <v>3961.2999999999997</v>
      </c>
      <c r="S94" s="31">
        <f t="shared" si="13"/>
        <v>864001.63333333342</v>
      </c>
      <c r="T94" s="35">
        <f t="shared" ref="T94:T102" si="14">S94+O94</f>
        <v>1243112.7333333334</v>
      </c>
      <c r="U94" s="31">
        <f t="shared" si="10"/>
        <v>1391157.8333333335</v>
      </c>
    </row>
    <row r="95" spans="1:21" s="37" customFormat="1" ht="15.75">
      <c r="A95" s="30">
        <v>42125</v>
      </c>
      <c r="B95" s="32">
        <v>96969.099999999977</v>
      </c>
      <c r="C95" s="32">
        <v>41533.800000000047</v>
      </c>
      <c r="D95" s="32">
        <v>-8.1000000000000014</v>
      </c>
      <c r="E95" s="31">
        <f t="shared" si="11"/>
        <v>138494.80000000002</v>
      </c>
      <c r="F95" s="32">
        <v>79625</v>
      </c>
      <c r="G95" s="32">
        <v>172465.8</v>
      </c>
      <c r="H95" s="32"/>
      <c r="I95" s="31">
        <v>51473.2</v>
      </c>
      <c r="J95" s="32">
        <v>101379.3</v>
      </c>
      <c r="K95" s="32">
        <v>283364.7</v>
      </c>
      <c r="L95" s="33">
        <f t="shared" si="8"/>
        <v>688308</v>
      </c>
      <c r="M95" s="32">
        <v>237907.74999999997</v>
      </c>
      <c r="N95" s="31">
        <v>28395.399999999998</v>
      </c>
      <c r="O95" s="33">
        <f t="shared" si="9"/>
        <v>422004.85</v>
      </c>
      <c r="P95" s="38">
        <v>16421.366666666665</v>
      </c>
      <c r="Q95" s="33">
        <v>850867.45</v>
      </c>
      <c r="R95" s="33">
        <v>4189.7</v>
      </c>
      <c r="S95" s="31">
        <f t="shared" si="13"/>
        <v>871478.5166666666</v>
      </c>
      <c r="T95" s="35">
        <f t="shared" si="14"/>
        <v>1293483.3666666667</v>
      </c>
      <c r="U95" s="31">
        <f t="shared" si="10"/>
        <v>1431978.1666666667</v>
      </c>
    </row>
    <row r="96" spans="1:21" s="37" customFormat="1" ht="15.75">
      <c r="A96" s="30">
        <v>42156</v>
      </c>
      <c r="B96" s="32">
        <v>11927.5</v>
      </c>
      <c r="C96" s="32">
        <v>53211.099999999977</v>
      </c>
      <c r="D96" s="32" t="s">
        <v>2</v>
      </c>
      <c r="E96" s="31">
        <f t="shared" si="11"/>
        <v>65138.599999999977</v>
      </c>
      <c r="F96" s="32">
        <v>121700.8</v>
      </c>
      <c r="G96" s="32">
        <v>166756.20000000001</v>
      </c>
      <c r="H96" s="32"/>
      <c r="I96" s="31">
        <v>48976.1</v>
      </c>
      <c r="J96" s="32">
        <v>100317.8</v>
      </c>
      <c r="K96" s="32">
        <v>282393.09999999998</v>
      </c>
      <c r="L96" s="33">
        <f t="shared" si="8"/>
        <v>720144</v>
      </c>
      <c r="M96" s="32">
        <v>229581.90000000002</v>
      </c>
      <c r="N96" s="31">
        <v>26258.899999999998</v>
      </c>
      <c r="O96" s="33">
        <f t="shared" si="9"/>
        <v>464303.19999999995</v>
      </c>
      <c r="P96" s="38">
        <v>9628.4</v>
      </c>
      <c r="Q96" s="33">
        <v>856754.29999999981</v>
      </c>
      <c r="R96" s="33">
        <v>3822.2</v>
      </c>
      <c r="S96" s="31">
        <f t="shared" si="13"/>
        <v>870204.89999999979</v>
      </c>
      <c r="T96" s="35">
        <f t="shared" si="14"/>
        <v>1334508.0999999996</v>
      </c>
      <c r="U96" s="31">
        <f t="shared" si="10"/>
        <v>1399646.6999999997</v>
      </c>
    </row>
    <row r="97" spans="1:21" s="37" customFormat="1" ht="15.75">
      <c r="A97" s="30">
        <v>42186</v>
      </c>
      <c r="B97" s="32">
        <v>-2305.5999999999185</v>
      </c>
      <c r="C97" s="32">
        <v>32200.400000000023</v>
      </c>
      <c r="D97" s="32" t="s">
        <v>2</v>
      </c>
      <c r="E97" s="31">
        <f t="shared" si="11"/>
        <v>29894.800000000105</v>
      </c>
      <c r="F97" s="32">
        <v>124466.2</v>
      </c>
      <c r="G97" s="32">
        <v>170582</v>
      </c>
      <c r="H97" s="32"/>
      <c r="I97" s="31">
        <v>48274.816666666666</v>
      </c>
      <c r="J97" s="32">
        <v>98924.5</v>
      </c>
      <c r="K97" s="32">
        <v>281753.2</v>
      </c>
      <c r="L97" s="33">
        <f t="shared" si="8"/>
        <v>724000.71666666667</v>
      </c>
      <c r="M97" s="32">
        <v>204000.28333333333</v>
      </c>
      <c r="N97" s="31">
        <v>26401.600000000002</v>
      </c>
      <c r="O97" s="33">
        <f t="shared" si="9"/>
        <v>493598.83333333337</v>
      </c>
      <c r="P97" s="38">
        <v>13310.2</v>
      </c>
      <c r="Q97" s="33">
        <v>865872.11666666646</v>
      </c>
      <c r="R97" s="33">
        <v>3822.1</v>
      </c>
      <c r="S97" s="31">
        <f t="shared" si="13"/>
        <v>883004.4166666664</v>
      </c>
      <c r="T97" s="35">
        <f t="shared" si="14"/>
        <v>1376603.2499999998</v>
      </c>
      <c r="U97" s="31">
        <f t="shared" si="10"/>
        <v>1406498.0499999998</v>
      </c>
    </row>
    <row r="98" spans="1:21" s="37" customFormat="1" ht="15.75">
      <c r="A98" s="30">
        <v>42217</v>
      </c>
      <c r="B98" s="32">
        <v>-43032.299999999872</v>
      </c>
      <c r="C98" s="32">
        <v>46238.700000000012</v>
      </c>
      <c r="D98" s="32" t="s">
        <v>2</v>
      </c>
      <c r="E98" s="31">
        <f t="shared" si="11"/>
        <v>3206.4000000001397</v>
      </c>
      <c r="F98" s="32">
        <v>162684.9</v>
      </c>
      <c r="G98" s="32">
        <v>170888.3</v>
      </c>
      <c r="H98" s="32"/>
      <c r="I98" s="31">
        <v>47924.261111111111</v>
      </c>
      <c r="J98" s="32">
        <v>97531.199999999997</v>
      </c>
      <c r="K98" s="32">
        <v>281113.30000000005</v>
      </c>
      <c r="L98" s="33">
        <f t="shared" si="8"/>
        <v>760141.9611111111</v>
      </c>
      <c r="M98" s="32">
        <v>192151.59444444446</v>
      </c>
      <c r="N98" s="31">
        <v>34152.399999999994</v>
      </c>
      <c r="O98" s="33">
        <f t="shared" si="9"/>
        <v>533837.96666666667</v>
      </c>
      <c r="P98" s="38">
        <v>13105</v>
      </c>
      <c r="Q98" s="33">
        <v>867113.3666666667</v>
      </c>
      <c r="R98" s="33">
        <v>3846.9</v>
      </c>
      <c r="S98" s="31">
        <f t="shared" si="13"/>
        <v>884065.26666666672</v>
      </c>
      <c r="T98" s="35">
        <f t="shared" si="14"/>
        <v>1417903.2333333334</v>
      </c>
      <c r="U98" s="31">
        <f t="shared" si="10"/>
        <v>1421109.6333333335</v>
      </c>
    </row>
    <row r="99" spans="1:21" s="37" customFormat="1" ht="15.75">
      <c r="A99" s="30">
        <v>42248</v>
      </c>
      <c r="B99" s="32">
        <v>-77050.099999999977</v>
      </c>
      <c r="C99" s="32">
        <v>43805.499999999942</v>
      </c>
      <c r="D99" s="32" t="s">
        <v>2</v>
      </c>
      <c r="E99" s="31">
        <f t="shared" si="11"/>
        <v>-33244.600000000035</v>
      </c>
      <c r="F99" s="32">
        <v>201450.1</v>
      </c>
      <c r="G99" s="32">
        <v>177101.60000000003</v>
      </c>
      <c r="H99" s="32"/>
      <c r="I99" s="31">
        <v>50077.969444444447</v>
      </c>
      <c r="J99" s="32">
        <v>96137.9</v>
      </c>
      <c r="K99" s="32">
        <v>280473.5</v>
      </c>
      <c r="L99" s="33">
        <f t="shared" si="8"/>
        <v>805241.0694444445</v>
      </c>
      <c r="M99" s="32">
        <v>208852.61944444446</v>
      </c>
      <c r="N99" s="31">
        <v>29497.3</v>
      </c>
      <c r="O99" s="33">
        <f t="shared" si="9"/>
        <v>566891.15</v>
      </c>
      <c r="P99" s="38">
        <v>14965.4</v>
      </c>
      <c r="Q99" s="33">
        <v>865121.3833333333</v>
      </c>
      <c r="R99" s="33">
        <v>3755.9</v>
      </c>
      <c r="S99" s="31">
        <f t="shared" si="13"/>
        <v>883842.68333333335</v>
      </c>
      <c r="T99" s="35">
        <f t="shared" si="14"/>
        <v>1450733.8333333335</v>
      </c>
      <c r="U99" s="31">
        <f t="shared" si="10"/>
        <v>1417489.2333333334</v>
      </c>
    </row>
    <row r="100" spans="1:21" s="37" customFormat="1" ht="15.75">
      <c r="A100" s="30">
        <v>42278</v>
      </c>
      <c r="B100" s="32">
        <v>-58413.900000000023</v>
      </c>
      <c r="C100" s="32">
        <v>34584.600000000035</v>
      </c>
      <c r="D100" s="32" t="s">
        <v>2</v>
      </c>
      <c r="E100" s="31">
        <f t="shared" si="11"/>
        <v>-23829.299999999988</v>
      </c>
      <c r="F100" s="32">
        <v>227827.20000000001</v>
      </c>
      <c r="G100" s="32">
        <v>194261.09999999998</v>
      </c>
      <c r="H100" s="32"/>
      <c r="I100" s="31">
        <v>54863.787037037036</v>
      </c>
      <c r="J100" s="32">
        <v>95660.7</v>
      </c>
      <c r="K100" s="32">
        <v>279193.7</v>
      </c>
      <c r="L100" s="33">
        <f t="shared" si="8"/>
        <v>851806.48703703703</v>
      </c>
      <c r="M100" s="32">
        <v>190286.82037037038</v>
      </c>
      <c r="N100" s="31">
        <v>33496</v>
      </c>
      <c r="O100" s="33">
        <f t="shared" si="9"/>
        <v>628023.66666666663</v>
      </c>
      <c r="P100" s="38">
        <v>10318.5</v>
      </c>
      <c r="Q100" s="33">
        <v>861702.07777777768</v>
      </c>
      <c r="R100" s="33">
        <v>4663.1000000000004</v>
      </c>
      <c r="S100" s="31">
        <f t="shared" si="13"/>
        <v>876683.67777777766</v>
      </c>
      <c r="T100" s="35">
        <f t="shared" si="14"/>
        <v>1504707.3444444444</v>
      </c>
      <c r="U100" s="31">
        <f t="shared" si="10"/>
        <v>1480878.0444444444</v>
      </c>
    </row>
    <row r="101" spans="1:21" s="37" customFormat="1" ht="15.75">
      <c r="A101" s="30">
        <v>42309</v>
      </c>
      <c r="B101" s="32">
        <v>-112837.10000000003</v>
      </c>
      <c r="C101" s="32">
        <v>28433.800000000017</v>
      </c>
      <c r="D101" s="32" t="s">
        <v>2</v>
      </c>
      <c r="E101" s="31">
        <f t="shared" si="11"/>
        <v>-84403.300000000017</v>
      </c>
      <c r="F101" s="32">
        <v>236897.9</v>
      </c>
      <c r="G101" s="32">
        <v>222734.2</v>
      </c>
      <c r="H101" s="32"/>
      <c r="I101" s="31">
        <v>56418.544135802491</v>
      </c>
      <c r="J101" s="32">
        <v>94267.4</v>
      </c>
      <c r="K101" s="32">
        <v>278553.90000000002</v>
      </c>
      <c r="L101" s="33">
        <f t="shared" si="8"/>
        <v>888871.94413580245</v>
      </c>
      <c r="M101" s="32">
        <v>197165.57191358026</v>
      </c>
      <c r="N101" s="31">
        <v>34078.9</v>
      </c>
      <c r="O101" s="33">
        <f t="shared" si="9"/>
        <v>657627.47222222213</v>
      </c>
      <c r="P101" s="38">
        <v>10127.1</v>
      </c>
      <c r="Q101" s="33">
        <v>830260.12407407397</v>
      </c>
      <c r="R101" s="33">
        <v>8.3000000000000007</v>
      </c>
      <c r="S101" s="31">
        <f t="shared" si="13"/>
        <v>840395.524074074</v>
      </c>
      <c r="T101" s="35">
        <f t="shared" si="14"/>
        <v>1498022.9962962961</v>
      </c>
      <c r="U101" s="31">
        <f t="shared" si="10"/>
        <v>1413619.6962962961</v>
      </c>
    </row>
    <row r="102" spans="1:21" s="37" customFormat="1" ht="15.75">
      <c r="A102" s="30">
        <v>42339</v>
      </c>
      <c r="B102" s="32">
        <v>-132985.60000000001</v>
      </c>
      <c r="C102" s="32">
        <v>57115.499999999971</v>
      </c>
      <c r="D102" s="32" t="s">
        <v>2</v>
      </c>
      <c r="E102" s="31">
        <f t="shared" si="11"/>
        <v>-75870.100000000035</v>
      </c>
      <c r="F102" s="32">
        <v>273246</v>
      </c>
      <c r="G102" s="32">
        <v>254809.2</v>
      </c>
      <c r="H102" s="32"/>
      <c r="I102" s="31">
        <v>50054.3</v>
      </c>
      <c r="J102" s="32">
        <v>90564.7</v>
      </c>
      <c r="K102" s="32">
        <v>277913.90000000002</v>
      </c>
      <c r="L102" s="33">
        <f t="shared" si="8"/>
        <v>946588.1</v>
      </c>
      <c r="M102" s="32">
        <v>233455.5</v>
      </c>
      <c r="N102" s="31">
        <v>26275.999999999996</v>
      </c>
      <c r="O102" s="33">
        <f t="shared" si="9"/>
        <v>686856.6</v>
      </c>
      <c r="P102" s="38">
        <v>6532.0999999999995</v>
      </c>
      <c r="Q102" s="33">
        <v>812972</v>
      </c>
      <c r="R102" s="33">
        <v>27.1</v>
      </c>
      <c r="S102" s="31">
        <f t="shared" si="13"/>
        <v>819531.2</v>
      </c>
      <c r="T102" s="35">
        <f t="shared" si="14"/>
        <v>1506387.7999999998</v>
      </c>
      <c r="U102" s="31">
        <f t="shared" si="10"/>
        <v>1430517.6999999997</v>
      </c>
    </row>
    <row r="103" spans="1:21" s="37" customFormat="1" ht="15.75">
      <c r="A103" s="30">
        <v>42370</v>
      </c>
      <c r="B103" s="32">
        <v>-135855.99999999997</v>
      </c>
      <c r="C103" s="32">
        <v>16621.999999999971</v>
      </c>
      <c r="D103" s="32" t="s">
        <v>2</v>
      </c>
      <c r="E103" s="31">
        <f t="shared" si="11"/>
        <v>-119234</v>
      </c>
      <c r="F103" s="32">
        <v>230233.5</v>
      </c>
      <c r="G103" s="32">
        <v>266534</v>
      </c>
      <c r="H103" s="32"/>
      <c r="I103" s="31">
        <v>49668.816666666666</v>
      </c>
      <c r="J103" s="32">
        <v>90564.7</v>
      </c>
      <c r="K103" s="32">
        <v>277913.90000000002</v>
      </c>
      <c r="L103" s="33">
        <f t="shared" si="8"/>
        <v>914914.91666666663</v>
      </c>
      <c r="M103" s="32">
        <v>194439.72500000003</v>
      </c>
      <c r="N103" s="31">
        <v>27271.8</v>
      </c>
      <c r="O103" s="33">
        <f t="shared" si="9"/>
        <v>693203.3916666666</v>
      </c>
      <c r="P103" s="38">
        <v>2982.7</v>
      </c>
      <c r="Q103" s="33">
        <v>829600.2666666666</v>
      </c>
      <c r="R103" s="33">
        <v>67.399999999999991</v>
      </c>
      <c r="S103" s="31">
        <f t="shared" si="13"/>
        <v>832650.36666666658</v>
      </c>
      <c r="T103" s="35">
        <f t="shared" ref="T103:T138" si="15">S103+O103</f>
        <v>1525853.7583333333</v>
      </c>
      <c r="U103" s="31">
        <f t="shared" ref="U103:U138" si="16">T103+E103</f>
        <v>1406619.7583333333</v>
      </c>
    </row>
    <row r="104" spans="1:21" s="37" customFormat="1" ht="15.75">
      <c r="A104" s="30">
        <v>42401</v>
      </c>
      <c r="B104" s="32">
        <v>-166598.10000000003</v>
      </c>
      <c r="C104" s="32">
        <v>33809.399999999965</v>
      </c>
      <c r="D104" s="32" t="s">
        <v>2</v>
      </c>
      <c r="E104" s="31">
        <f t="shared" si="11"/>
        <v>-132788.70000000007</v>
      </c>
      <c r="F104" s="32">
        <v>260394.9</v>
      </c>
      <c r="G104" s="32">
        <v>282730.90000000002</v>
      </c>
      <c r="H104" s="32"/>
      <c r="I104" s="31">
        <v>52982.73333333333</v>
      </c>
      <c r="J104" s="32">
        <v>89171.4</v>
      </c>
      <c r="K104" s="32">
        <v>277274.09999999998</v>
      </c>
      <c r="L104" s="33">
        <f t="shared" si="8"/>
        <v>962554.03333333333</v>
      </c>
      <c r="M104" s="32">
        <v>200431.34999999998</v>
      </c>
      <c r="N104" s="31">
        <v>27229.1</v>
      </c>
      <c r="O104" s="33">
        <f t="shared" si="9"/>
        <v>734893.58333333337</v>
      </c>
      <c r="P104" s="38">
        <v>3467.3</v>
      </c>
      <c r="Q104" s="33">
        <v>831034.2333333334</v>
      </c>
      <c r="R104" s="33">
        <v>24.400000000000002</v>
      </c>
      <c r="S104" s="31">
        <f t="shared" si="13"/>
        <v>834525.93333333347</v>
      </c>
      <c r="T104" s="35">
        <f t="shared" si="15"/>
        <v>1569419.5166666668</v>
      </c>
      <c r="U104" s="31">
        <f t="shared" si="16"/>
        <v>1436630.8166666669</v>
      </c>
    </row>
    <row r="105" spans="1:21" s="37" customFormat="1" ht="15.75">
      <c r="A105" s="30">
        <v>42430</v>
      </c>
      <c r="B105" s="32">
        <v>-194954.00000000006</v>
      </c>
      <c r="C105" s="32">
        <v>33930.199999999953</v>
      </c>
      <c r="D105" s="32" t="s">
        <v>2</v>
      </c>
      <c r="E105" s="31">
        <f t="shared" si="11"/>
        <v>-161023.8000000001</v>
      </c>
      <c r="F105" s="32">
        <v>273246</v>
      </c>
      <c r="G105" s="32">
        <v>296894.8</v>
      </c>
      <c r="H105" s="32"/>
      <c r="I105" s="31">
        <v>49389.950000000004</v>
      </c>
      <c r="J105" s="32">
        <v>86384.8</v>
      </c>
      <c r="K105" s="32">
        <v>275994.3</v>
      </c>
      <c r="L105" s="33">
        <f t="shared" si="8"/>
        <v>981909.85000000009</v>
      </c>
      <c r="M105" s="32">
        <v>231671.77500000002</v>
      </c>
      <c r="N105" s="31">
        <v>25784.100000000002</v>
      </c>
      <c r="O105" s="33">
        <f t="shared" si="9"/>
        <v>724453.97500000009</v>
      </c>
      <c r="P105" s="38">
        <v>2767.5</v>
      </c>
      <c r="Q105" s="33">
        <v>832325.4</v>
      </c>
      <c r="R105" s="33">
        <v>22.2</v>
      </c>
      <c r="S105" s="31">
        <f t="shared" si="13"/>
        <v>835115.1</v>
      </c>
      <c r="T105" s="35">
        <f t="shared" si="15"/>
        <v>1559569.0750000002</v>
      </c>
      <c r="U105" s="31">
        <f t="shared" si="16"/>
        <v>1398545.2750000001</v>
      </c>
    </row>
    <row r="106" spans="1:21" s="37" customFormat="1" ht="15.75">
      <c r="A106" s="30">
        <v>42461</v>
      </c>
      <c r="B106" s="32">
        <v>-175516.19999999998</v>
      </c>
      <c r="C106" s="32">
        <v>6223.3999999999942</v>
      </c>
      <c r="D106" s="32" t="s">
        <v>2</v>
      </c>
      <c r="E106" s="31">
        <f t="shared" si="11"/>
        <v>-169292.79999999999</v>
      </c>
      <c r="F106" s="32">
        <v>4780.0999999999767</v>
      </c>
      <c r="G106" s="32">
        <v>319584.7</v>
      </c>
      <c r="H106" s="32"/>
      <c r="I106" s="31">
        <v>54947.166666666672</v>
      </c>
      <c r="J106" s="32">
        <v>86384.8</v>
      </c>
      <c r="K106" s="32">
        <v>549240.30000000005</v>
      </c>
      <c r="L106" s="33">
        <f t="shared" si="8"/>
        <v>1014937.0666666667</v>
      </c>
      <c r="M106" s="32">
        <v>213918.30000000002</v>
      </c>
      <c r="N106" s="31">
        <v>31710.300000000003</v>
      </c>
      <c r="O106" s="33">
        <f t="shared" si="9"/>
        <v>769308.46666666656</v>
      </c>
      <c r="P106" s="38">
        <v>6585.9</v>
      </c>
      <c r="Q106" s="33">
        <v>825005.7666666666</v>
      </c>
      <c r="R106" s="33">
        <v>46.2</v>
      </c>
      <c r="S106" s="31">
        <f t="shared" si="13"/>
        <v>831637.86666666658</v>
      </c>
      <c r="T106" s="35">
        <f t="shared" si="15"/>
        <v>1600946.333333333</v>
      </c>
      <c r="U106" s="31">
        <f t="shared" si="16"/>
        <v>1431653.533333333</v>
      </c>
    </row>
    <row r="107" spans="1:21" s="37" customFormat="1" ht="15.75">
      <c r="A107" s="30">
        <v>42491</v>
      </c>
      <c r="B107" s="32">
        <v>-195743.39999999997</v>
      </c>
      <c r="C107" s="32">
        <v>454.5</v>
      </c>
      <c r="D107" s="32" t="s">
        <v>2</v>
      </c>
      <c r="E107" s="31">
        <f t="shared" si="11"/>
        <v>-195288.89999999997</v>
      </c>
      <c r="F107" s="32">
        <v>21652.299999999988</v>
      </c>
      <c r="G107" s="32">
        <v>322381.7</v>
      </c>
      <c r="H107" s="32"/>
      <c r="I107" s="31">
        <v>54341.78333333334</v>
      </c>
      <c r="J107" s="32">
        <v>84991.5</v>
      </c>
      <c r="K107" s="32">
        <v>548600.5</v>
      </c>
      <c r="L107" s="33">
        <f t="shared" si="8"/>
        <v>1031967.7833333333</v>
      </c>
      <c r="M107" s="32">
        <v>216270.52499999999</v>
      </c>
      <c r="N107" s="31">
        <v>33788.199999999997</v>
      </c>
      <c r="O107" s="33">
        <f t="shared" si="9"/>
        <v>781909.05833333335</v>
      </c>
      <c r="P107" s="38">
        <v>7303.9</v>
      </c>
      <c r="Q107" s="33">
        <v>839250.23333333328</v>
      </c>
      <c r="R107" s="33">
        <v>56.4</v>
      </c>
      <c r="S107" s="31">
        <f t="shared" si="13"/>
        <v>846610.53333333333</v>
      </c>
      <c r="T107" s="35">
        <f t="shared" si="15"/>
        <v>1628519.5916666668</v>
      </c>
      <c r="U107" s="31">
        <f t="shared" si="16"/>
        <v>1433230.6916666669</v>
      </c>
    </row>
    <row r="108" spans="1:21" s="37" customFormat="1" ht="15.75">
      <c r="A108" s="30">
        <v>42522</v>
      </c>
      <c r="B108" s="32">
        <v>-186003.4</v>
      </c>
      <c r="C108" s="32">
        <v>20116.699999999953</v>
      </c>
      <c r="D108" s="32" t="s">
        <v>2</v>
      </c>
      <c r="E108" s="31">
        <f t="shared" si="11"/>
        <v>-165886.70000000004</v>
      </c>
      <c r="F108" s="32">
        <v>19504.700000000012</v>
      </c>
      <c r="G108" s="32">
        <v>348742.9</v>
      </c>
      <c r="H108" s="32"/>
      <c r="I108" s="31">
        <v>53066.8</v>
      </c>
      <c r="J108" s="32">
        <v>83598.2</v>
      </c>
      <c r="K108" s="32">
        <v>547320.69999999995</v>
      </c>
      <c r="L108" s="33">
        <f t="shared" si="8"/>
        <v>1052233.3</v>
      </c>
      <c r="M108" s="32">
        <v>222571.65000000002</v>
      </c>
      <c r="N108" s="31">
        <v>41471.800000000003</v>
      </c>
      <c r="O108" s="33">
        <f t="shared" si="9"/>
        <v>788189.85</v>
      </c>
      <c r="P108" s="38">
        <v>6427</v>
      </c>
      <c r="Q108" s="33">
        <v>857911.70000000007</v>
      </c>
      <c r="R108" s="33">
        <v>59.2</v>
      </c>
      <c r="S108" s="31">
        <f t="shared" si="13"/>
        <v>864397.9</v>
      </c>
      <c r="T108" s="35">
        <f t="shared" si="15"/>
        <v>1652587.75</v>
      </c>
      <c r="U108" s="31">
        <f t="shared" si="16"/>
        <v>1486701.05</v>
      </c>
    </row>
    <row r="109" spans="1:21" s="37" customFormat="1" ht="15.75">
      <c r="A109" s="30">
        <v>42552</v>
      </c>
      <c r="B109" s="32">
        <v>-186226.3</v>
      </c>
      <c r="C109" s="32">
        <v>-2306.100000000064</v>
      </c>
      <c r="D109" s="32" t="s">
        <v>2</v>
      </c>
      <c r="E109" s="31">
        <f t="shared" si="11"/>
        <v>-188532.40000000005</v>
      </c>
      <c r="F109" s="32">
        <v>17403.200000000012</v>
      </c>
      <c r="G109" s="32">
        <v>365969.8</v>
      </c>
      <c r="H109" s="32"/>
      <c r="I109" s="31">
        <v>54167.7</v>
      </c>
      <c r="J109" s="32">
        <v>82204.899999999994</v>
      </c>
      <c r="K109" s="32">
        <v>546680.9</v>
      </c>
      <c r="L109" s="33">
        <f t="shared" si="8"/>
        <v>1066426.5</v>
      </c>
      <c r="M109" s="32">
        <v>219058.05833333335</v>
      </c>
      <c r="N109" s="31">
        <v>39586.400000000009</v>
      </c>
      <c r="O109" s="33">
        <f t="shared" si="9"/>
        <v>807782.04166666663</v>
      </c>
      <c r="P109" s="38">
        <v>11339</v>
      </c>
      <c r="Q109" s="33">
        <v>851044.93333333335</v>
      </c>
      <c r="R109" s="33">
        <v>35.000000000000007</v>
      </c>
      <c r="S109" s="31">
        <f t="shared" si="13"/>
        <v>862418.93333333335</v>
      </c>
      <c r="T109" s="35">
        <f t="shared" si="15"/>
        <v>1670200.9750000001</v>
      </c>
      <c r="U109" s="31">
        <f t="shared" si="16"/>
        <v>1481668.575</v>
      </c>
    </row>
    <row r="110" spans="1:21" s="37" customFormat="1" ht="15.75">
      <c r="A110" s="30">
        <v>42583</v>
      </c>
      <c r="B110" s="32">
        <v>-192550.6</v>
      </c>
      <c r="C110" s="32">
        <v>-9672.7000000000262</v>
      </c>
      <c r="D110" s="32" t="s">
        <v>2</v>
      </c>
      <c r="E110" s="31">
        <f t="shared" si="11"/>
        <v>-202223.30000000005</v>
      </c>
      <c r="F110" s="32">
        <v>10113</v>
      </c>
      <c r="G110" s="32">
        <v>370225.1</v>
      </c>
      <c r="H110" s="32"/>
      <c r="I110" s="31">
        <v>47786.5</v>
      </c>
      <c r="J110" s="32">
        <v>80811.600000000006</v>
      </c>
      <c r="K110" s="32">
        <v>546041</v>
      </c>
      <c r="L110" s="33">
        <f t="shared" si="8"/>
        <v>1054977.2</v>
      </c>
      <c r="M110" s="32">
        <v>211792.26666666669</v>
      </c>
      <c r="N110" s="31">
        <v>29870.1</v>
      </c>
      <c r="O110" s="33">
        <f t="shared" si="9"/>
        <v>813314.83333333326</v>
      </c>
      <c r="P110" s="38">
        <v>10303.200000000001</v>
      </c>
      <c r="Q110" s="33">
        <v>877081.2666666666</v>
      </c>
      <c r="R110" s="33">
        <v>26.900000000000002</v>
      </c>
      <c r="S110" s="31">
        <f t="shared" si="13"/>
        <v>887411.36666666658</v>
      </c>
      <c r="T110" s="35">
        <f t="shared" si="15"/>
        <v>1700726.1999999997</v>
      </c>
      <c r="U110" s="31">
        <f t="shared" si="16"/>
        <v>1498502.8999999997</v>
      </c>
    </row>
    <row r="111" spans="1:21" s="37" customFormat="1" ht="15.75">
      <c r="A111" s="30">
        <v>42614</v>
      </c>
      <c r="B111" s="32">
        <v>-181601</v>
      </c>
      <c r="C111" s="32">
        <v>-10844.799999999959</v>
      </c>
      <c r="D111" s="32" t="s">
        <v>2</v>
      </c>
      <c r="E111" s="31">
        <f t="shared" si="11"/>
        <v>-192445.79999999996</v>
      </c>
      <c r="F111" s="32">
        <v>18972.7</v>
      </c>
      <c r="G111" s="32">
        <v>390238.4</v>
      </c>
      <c r="H111" s="32"/>
      <c r="I111" s="31">
        <v>46843.899999999994</v>
      </c>
      <c r="J111" s="32">
        <v>79418.3</v>
      </c>
      <c r="K111" s="32">
        <v>546041</v>
      </c>
      <c r="L111" s="33">
        <f t="shared" si="8"/>
        <v>1081514.3</v>
      </c>
      <c r="M111" s="32">
        <v>220076.07500000001</v>
      </c>
      <c r="N111" s="31">
        <v>34600.5</v>
      </c>
      <c r="O111" s="33">
        <f t="shared" si="9"/>
        <v>826837.72500000009</v>
      </c>
      <c r="P111" s="38">
        <v>11245.4</v>
      </c>
      <c r="Q111" s="33">
        <v>872234.79999999993</v>
      </c>
      <c r="R111" s="33">
        <v>15.5</v>
      </c>
      <c r="S111" s="31">
        <f t="shared" si="13"/>
        <v>883495.7</v>
      </c>
      <c r="T111" s="35">
        <f t="shared" si="15"/>
        <v>1710333.425</v>
      </c>
      <c r="U111" s="31">
        <f t="shared" si="16"/>
        <v>1517887.625</v>
      </c>
    </row>
    <row r="112" spans="1:21" s="37" customFormat="1" ht="15.75">
      <c r="A112" s="30">
        <v>42644</v>
      </c>
      <c r="B112" s="32">
        <v>-181634.80000000002</v>
      </c>
      <c r="C112" s="32">
        <v>-14712.400000000023</v>
      </c>
      <c r="D112" s="32" t="s">
        <v>2</v>
      </c>
      <c r="E112" s="31">
        <f t="shared" si="11"/>
        <v>-196347.20000000004</v>
      </c>
      <c r="F112" s="32">
        <v>37280.9</v>
      </c>
      <c r="G112" s="32">
        <v>391147.4</v>
      </c>
      <c r="H112" s="32"/>
      <c r="I112" s="31">
        <v>51279.066666666666</v>
      </c>
      <c r="J112" s="32">
        <v>78024.899999999994</v>
      </c>
      <c r="K112" s="32">
        <v>545401.19999999995</v>
      </c>
      <c r="L112" s="33">
        <f t="shared" si="8"/>
        <v>1103133.4666666668</v>
      </c>
      <c r="M112" s="32">
        <v>223779.11666666664</v>
      </c>
      <c r="N112" s="31">
        <v>29570.199999999997</v>
      </c>
      <c r="O112" s="33">
        <f t="shared" si="9"/>
        <v>849784.15000000014</v>
      </c>
      <c r="P112" s="38">
        <v>9115.2999999999993</v>
      </c>
      <c r="Q112" s="33">
        <v>870003.23333333316</v>
      </c>
      <c r="R112" s="33">
        <v>21</v>
      </c>
      <c r="S112" s="31">
        <f t="shared" si="13"/>
        <v>879139.53333333321</v>
      </c>
      <c r="T112" s="35">
        <f t="shared" si="15"/>
        <v>1728923.6833333333</v>
      </c>
      <c r="U112" s="31">
        <f t="shared" si="16"/>
        <v>1532576.4833333334</v>
      </c>
    </row>
    <row r="113" spans="1:21" s="37" customFormat="1" ht="15.75">
      <c r="A113" s="30">
        <v>42675</v>
      </c>
      <c r="B113" s="32">
        <v>-174078</v>
      </c>
      <c r="C113" s="32">
        <v>-6939.5000000000291</v>
      </c>
      <c r="D113" s="32" t="s">
        <v>2</v>
      </c>
      <c r="E113" s="31">
        <f t="shared" si="11"/>
        <v>-181017.50000000003</v>
      </c>
      <c r="F113" s="32">
        <v>69788.2</v>
      </c>
      <c r="G113" s="32">
        <v>404323.99999999988</v>
      </c>
      <c r="H113" s="32"/>
      <c r="I113" s="31">
        <v>53115.833333333328</v>
      </c>
      <c r="J113" s="32">
        <v>75238.3</v>
      </c>
      <c r="K113" s="32">
        <v>544121.5</v>
      </c>
      <c r="L113" s="33">
        <f t="shared" si="8"/>
        <v>1146587.8333333333</v>
      </c>
      <c r="M113" s="32">
        <v>232963.04722222226</v>
      </c>
      <c r="N113" s="31">
        <v>29497.7</v>
      </c>
      <c r="O113" s="33">
        <f t="shared" si="9"/>
        <v>884127.0861111111</v>
      </c>
      <c r="P113" s="38">
        <v>6989.2999999999993</v>
      </c>
      <c r="Q113" s="33">
        <v>863617.57777777768</v>
      </c>
      <c r="R113" s="33">
        <v>13.3</v>
      </c>
      <c r="S113" s="31">
        <f t="shared" si="13"/>
        <v>870620.17777777778</v>
      </c>
      <c r="T113" s="35">
        <f t="shared" si="15"/>
        <v>1754747.263888889</v>
      </c>
      <c r="U113" s="31">
        <f t="shared" si="16"/>
        <v>1573729.763888889</v>
      </c>
    </row>
    <row r="114" spans="1:21" s="37" customFormat="1" ht="15.75">
      <c r="A114" s="30">
        <v>42705</v>
      </c>
      <c r="B114" s="32">
        <v>-162073.80000000002</v>
      </c>
      <c r="C114" s="32">
        <v>-14449.299999999974</v>
      </c>
      <c r="D114" s="32" t="s">
        <v>2</v>
      </c>
      <c r="E114" s="31">
        <f t="shared" si="11"/>
        <v>-176523.09999999998</v>
      </c>
      <c r="F114" s="32">
        <v>134973.1</v>
      </c>
      <c r="G114" s="32">
        <v>438079.6</v>
      </c>
      <c r="H114" s="32"/>
      <c r="I114" s="31">
        <v>37133.1</v>
      </c>
      <c r="J114" s="32">
        <v>73845.100000000006</v>
      </c>
      <c r="K114" s="32">
        <v>543481.59999999998</v>
      </c>
      <c r="L114" s="33">
        <f t="shared" si="8"/>
        <v>1227512.5</v>
      </c>
      <c r="M114" s="32">
        <v>291260.3</v>
      </c>
      <c r="N114" s="31">
        <v>30394.800000000003</v>
      </c>
      <c r="O114" s="33">
        <f t="shared" si="9"/>
        <v>905857.39999999991</v>
      </c>
      <c r="P114" s="38">
        <v>7173.4000000000005</v>
      </c>
      <c r="Q114" s="33">
        <v>854034</v>
      </c>
      <c r="R114" s="33">
        <v>57.6</v>
      </c>
      <c r="S114" s="31">
        <f t="shared" si="13"/>
        <v>861265</v>
      </c>
      <c r="T114" s="35">
        <f t="shared" si="15"/>
        <v>1767122.4</v>
      </c>
      <c r="U114" s="31">
        <f t="shared" si="16"/>
        <v>1590599.2999999998</v>
      </c>
    </row>
    <row r="115" spans="1:21" s="37" customFormat="1" ht="15.75">
      <c r="A115" s="30">
        <v>42766</v>
      </c>
      <c r="B115" s="32">
        <v>-140840.69999999998</v>
      </c>
      <c r="C115" s="32">
        <v>-26017.300000000003</v>
      </c>
      <c r="D115" s="32"/>
      <c r="E115" s="31">
        <f t="shared" si="11"/>
        <v>-166858</v>
      </c>
      <c r="F115" s="32">
        <v>91642.3</v>
      </c>
      <c r="G115" s="32">
        <v>434826.99999999988</v>
      </c>
      <c r="H115" s="32"/>
      <c r="I115" s="31">
        <v>36989.983333333337</v>
      </c>
      <c r="J115" s="32">
        <v>73845</v>
      </c>
      <c r="K115" s="32">
        <v>543481.59999999998</v>
      </c>
      <c r="L115" s="33">
        <f t="shared" si="8"/>
        <v>1180785.8833333333</v>
      </c>
      <c r="M115" s="32">
        <v>229536.38333333333</v>
      </c>
      <c r="N115" s="31">
        <v>35154.5</v>
      </c>
      <c r="O115" s="33">
        <f t="shared" si="9"/>
        <v>916095</v>
      </c>
      <c r="P115" s="38">
        <v>5315</v>
      </c>
      <c r="Q115" s="33">
        <v>851398.95</v>
      </c>
      <c r="R115" s="33">
        <v>38.9</v>
      </c>
      <c r="S115" s="31">
        <f t="shared" si="13"/>
        <v>856752.85</v>
      </c>
      <c r="T115" s="35">
        <f t="shared" si="15"/>
        <v>1772847.85</v>
      </c>
      <c r="U115" s="31">
        <f t="shared" si="16"/>
        <v>1605989.85</v>
      </c>
    </row>
    <row r="116" spans="1:21" s="37" customFormat="1" ht="15.75">
      <c r="A116" s="30">
        <v>42794</v>
      </c>
      <c r="B116" s="32">
        <v>-116167</v>
      </c>
      <c r="C116" s="32">
        <v>-30275.099999999977</v>
      </c>
      <c r="D116" s="32"/>
      <c r="E116" s="31">
        <f t="shared" si="11"/>
        <v>-146442.09999999998</v>
      </c>
      <c r="F116" s="32">
        <v>107598.6</v>
      </c>
      <c r="G116" s="32">
        <v>463337.09999999992</v>
      </c>
      <c r="H116" s="32"/>
      <c r="I116" s="31">
        <v>38593.466666666667</v>
      </c>
      <c r="J116" s="32">
        <v>71058.399999999994</v>
      </c>
      <c r="K116" s="32">
        <v>542201.9</v>
      </c>
      <c r="L116" s="33">
        <f t="shared" si="8"/>
        <v>1222789.4666666668</v>
      </c>
      <c r="M116" s="32">
        <v>262216.96666666667</v>
      </c>
      <c r="N116" s="31">
        <v>31124.2</v>
      </c>
      <c r="O116" s="33">
        <f t="shared" si="9"/>
        <v>929448.30000000016</v>
      </c>
      <c r="P116" s="38">
        <v>4372</v>
      </c>
      <c r="Q116" s="33">
        <v>815244.10000000009</v>
      </c>
      <c r="R116" s="33">
        <v>63.3</v>
      </c>
      <c r="S116" s="31">
        <f t="shared" si="13"/>
        <v>819679.40000000014</v>
      </c>
      <c r="T116" s="35">
        <f t="shared" si="15"/>
        <v>1749127.7000000002</v>
      </c>
      <c r="U116" s="31">
        <f t="shared" si="16"/>
        <v>1602685.6</v>
      </c>
    </row>
    <row r="117" spans="1:21" s="37" customFormat="1" ht="15.75">
      <c r="A117" s="30">
        <v>42825</v>
      </c>
      <c r="B117" s="32">
        <v>-133135.90000000002</v>
      </c>
      <c r="C117" s="32">
        <v>-31494.300000000003</v>
      </c>
      <c r="D117" s="32"/>
      <c r="E117" s="31">
        <f t="shared" si="11"/>
        <v>-164630.20000000001</v>
      </c>
      <c r="F117" s="32">
        <v>130042.5</v>
      </c>
      <c r="G117" s="32">
        <v>474831.29999999993</v>
      </c>
      <c r="H117" s="32"/>
      <c r="I117" s="32">
        <v>48614.55</v>
      </c>
      <c r="J117" s="32">
        <v>69665.100000000006</v>
      </c>
      <c r="K117" s="32">
        <v>541562</v>
      </c>
      <c r="L117" s="33">
        <f t="shared" si="8"/>
        <v>1264715.45</v>
      </c>
      <c r="M117" s="32">
        <v>247676.35</v>
      </c>
      <c r="N117" s="31">
        <v>31886.899999999998</v>
      </c>
      <c r="O117" s="33">
        <f t="shared" si="9"/>
        <v>985152.2</v>
      </c>
      <c r="P117" s="38">
        <v>6812.0999999999995</v>
      </c>
      <c r="Q117" s="33">
        <v>806759.35000000009</v>
      </c>
      <c r="R117" s="33">
        <v>58.6</v>
      </c>
      <c r="S117" s="31">
        <f t="shared" si="13"/>
        <v>813630.05</v>
      </c>
      <c r="T117" s="35">
        <f t="shared" si="15"/>
        <v>1798782.25</v>
      </c>
      <c r="U117" s="31">
        <f t="shared" si="16"/>
        <v>1634152.05</v>
      </c>
    </row>
    <row r="118" spans="1:21" s="37" customFormat="1" ht="15.75">
      <c r="A118" s="30">
        <v>42855</v>
      </c>
      <c r="B118" s="32">
        <v>-140187.20000000004</v>
      </c>
      <c r="C118" s="32">
        <v>-22900.300000000017</v>
      </c>
      <c r="D118" s="32"/>
      <c r="E118" s="31">
        <f t="shared" si="11"/>
        <v>-163087.50000000006</v>
      </c>
      <c r="F118" s="32">
        <v>122074.2</v>
      </c>
      <c r="G118" s="32">
        <v>493038.8</v>
      </c>
      <c r="H118" s="32"/>
      <c r="I118" s="32">
        <v>44744.53333333334</v>
      </c>
      <c r="J118" s="32">
        <v>69665.100000000006</v>
      </c>
      <c r="K118" s="32">
        <v>541562</v>
      </c>
      <c r="L118" s="33">
        <f t="shared" si="8"/>
        <v>1271084.6333333333</v>
      </c>
      <c r="M118" s="32">
        <v>233480.46666666667</v>
      </c>
      <c r="N118" s="31">
        <v>38837.9</v>
      </c>
      <c r="O118" s="33">
        <f t="shared" si="9"/>
        <v>998766.2666666666</v>
      </c>
      <c r="P118" s="38">
        <v>5679.7</v>
      </c>
      <c r="Q118" s="33">
        <v>803471.96666666679</v>
      </c>
      <c r="R118" s="33">
        <v>45.9</v>
      </c>
      <c r="S118" s="31">
        <f t="shared" si="13"/>
        <v>809197.56666666677</v>
      </c>
      <c r="T118" s="35">
        <f t="shared" si="15"/>
        <v>1807963.8333333335</v>
      </c>
      <c r="U118" s="31">
        <f t="shared" si="16"/>
        <v>1644876.3333333335</v>
      </c>
    </row>
    <row r="119" spans="1:21" s="37" customFormat="1" ht="15.75">
      <c r="A119" s="30">
        <v>42886</v>
      </c>
      <c r="B119" s="32">
        <v>-104424.50000000006</v>
      </c>
      <c r="C119" s="32">
        <v>-8989.1999999999825</v>
      </c>
      <c r="D119" s="32"/>
      <c r="E119" s="31">
        <f t="shared" si="11"/>
        <v>-113413.70000000004</v>
      </c>
      <c r="F119" s="32">
        <v>139502.5</v>
      </c>
      <c r="G119" s="32">
        <v>511695.80000000005</v>
      </c>
      <c r="H119" s="32"/>
      <c r="I119" s="32">
        <v>46120.016666666663</v>
      </c>
      <c r="J119" s="32">
        <v>68271.8</v>
      </c>
      <c r="K119" s="32">
        <v>540922.1</v>
      </c>
      <c r="L119" s="33">
        <f t="shared" si="8"/>
        <v>1306512.2166666668</v>
      </c>
      <c r="M119" s="32">
        <v>282236.28333333333</v>
      </c>
      <c r="N119" s="31">
        <v>46467.700000000004</v>
      </c>
      <c r="O119" s="33">
        <f t="shared" si="9"/>
        <v>977808.23333333351</v>
      </c>
      <c r="P119" s="38">
        <v>7590.3</v>
      </c>
      <c r="Q119" s="33">
        <v>817242.78333333344</v>
      </c>
      <c r="R119" s="33">
        <v>19.5</v>
      </c>
      <c r="S119" s="31">
        <f t="shared" si="13"/>
        <v>824852.58333333349</v>
      </c>
      <c r="T119" s="35">
        <f t="shared" si="15"/>
        <v>1802660.8166666669</v>
      </c>
      <c r="U119" s="31">
        <f t="shared" si="16"/>
        <v>1689247.1166666669</v>
      </c>
    </row>
    <row r="120" spans="1:21" s="37" customFormat="1" ht="15.75">
      <c r="A120" s="30">
        <v>42916</v>
      </c>
      <c r="B120" s="32">
        <v>-140476.99999999994</v>
      </c>
      <c r="C120" s="32">
        <v>-12640.399999999994</v>
      </c>
      <c r="D120" s="32"/>
      <c r="E120" s="31">
        <f t="shared" si="11"/>
        <v>-153117.39999999994</v>
      </c>
      <c r="F120" s="32">
        <v>141652.79999999999</v>
      </c>
      <c r="G120" s="32">
        <v>520961.5</v>
      </c>
      <c r="H120" s="32"/>
      <c r="I120" s="32">
        <v>41050</v>
      </c>
      <c r="J120" s="32">
        <v>66878.5</v>
      </c>
      <c r="K120" s="32">
        <v>540282.30000000005</v>
      </c>
      <c r="L120" s="33">
        <f t="shared" si="8"/>
        <v>1310825.1000000001</v>
      </c>
      <c r="M120" s="32">
        <v>246217.90000000002</v>
      </c>
      <c r="N120" s="31">
        <v>54196.200000000004</v>
      </c>
      <c r="O120" s="33">
        <f t="shared" si="9"/>
        <v>1010411.0000000002</v>
      </c>
      <c r="P120" s="38">
        <v>13580.699999999999</v>
      </c>
      <c r="Q120" s="33">
        <v>857454.3</v>
      </c>
      <c r="R120" s="33">
        <v>33.299999999999997</v>
      </c>
      <c r="S120" s="31">
        <f t="shared" si="13"/>
        <v>871068.3</v>
      </c>
      <c r="T120" s="35">
        <f t="shared" si="15"/>
        <v>1881479.3000000003</v>
      </c>
      <c r="U120" s="31">
        <f t="shared" si="16"/>
        <v>1728361.9000000004</v>
      </c>
    </row>
    <row r="121" spans="1:21" s="37" customFormat="1" ht="15.75">
      <c r="A121" s="30">
        <v>42947</v>
      </c>
      <c r="B121" s="32">
        <v>-165541.40000000002</v>
      </c>
      <c r="C121" s="32">
        <v>10518.300000000017</v>
      </c>
      <c r="D121" s="32"/>
      <c r="E121" s="31">
        <f t="shared" si="11"/>
        <v>-155023.1</v>
      </c>
      <c r="F121" s="32">
        <v>126976.7</v>
      </c>
      <c r="G121" s="32">
        <v>517101.10000000003</v>
      </c>
      <c r="H121" s="32"/>
      <c r="I121" s="32">
        <v>40961.25</v>
      </c>
      <c r="J121" s="32">
        <v>65485.2</v>
      </c>
      <c r="K121" s="32">
        <v>539642.4</v>
      </c>
      <c r="L121" s="33">
        <f t="shared" si="8"/>
        <v>1290166.6499999999</v>
      </c>
      <c r="M121" s="32">
        <v>248778.76666666669</v>
      </c>
      <c r="N121" s="31">
        <v>45772.9</v>
      </c>
      <c r="O121" s="33">
        <f t="shared" si="9"/>
        <v>995614.98333333316</v>
      </c>
      <c r="P121" s="38">
        <v>14083.899999999998</v>
      </c>
      <c r="Q121" s="33">
        <v>878601.00000000012</v>
      </c>
      <c r="R121" s="33">
        <v>41.9</v>
      </c>
      <c r="S121" s="31">
        <f t="shared" si="13"/>
        <v>892726.80000000016</v>
      </c>
      <c r="T121" s="35">
        <f t="shared" si="15"/>
        <v>1888341.7833333332</v>
      </c>
      <c r="U121" s="31">
        <f t="shared" si="16"/>
        <v>1733318.6833333331</v>
      </c>
    </row>
    <row r="122" spans="1:21" s="37" customFormat="1" ht="15.75">
      <c r="A122" s="30">
        <v>42978</v>
      </c>
      <c r="B122" s="32">
        <v>-141377.29999999999</v>
      </c>
      <c r="C122" s="32">
        <v>-36521.700000000012</v>
      </c>
      <c r="D122" s="32"/>
      <c r="E122" s="31">
        <f t="shared" si="11"/>
        <v>-177899</v>
      </c>
      <c r="F122" s="32">
        <v>129280.9</v>
      </c>
      <c r="G122" s="32">
        <v>534156.80000000005</v>
      </c>
      <c r="H122" s="32"/>
      <c r="I122" s="32">
        <v>44402.2</v>
      </c>
      <c r="J122" s="32">
        <v>62698.6</v>
      </c>
      <c r="K122" s="32">
        <v>538362.6</v>
      </c>
      <c r="L122" s="33">
        <f t="shared" si="8"/>
        <v>1308901.1000000001</v>
      </c>
      <c r="M122" s="32">
        <v>241182.73333333334</v>
      </c>
      <c r="N122" s="31">
        <v>36993.599999999999</v>
      </c>
      <c r="O122" s="33">
        <f t="shared" si="9"/>
        <v>1030724.7666666667</v>
      </c>
      <c r="P122" s="38">
        <v>19603.199999999997</v>
      </c>
      <c r="Q122" s="33">
        <v>887335.6</v>
      </c>
      <c r="R122" s="33">
        <v>39.299999999999997</v>
      </c>
      <c r="S122" s="31">
        <f t="shared" si="13"/>
        <v>906978.1</v>
      </c>
      <c r="T122" s="35">
        <f t="shared" si="15"/>
        <v>1937702.8666666667</v>
      </c>
      <c r="U122" s="31">
        <f t="shared" si="16"/>
        <v>1759803.8666666667</v>
      </c>
    </row>
    <row r="123" spans="1:21" s="37" customFormat="1" ht="15.75">
      <c r="A123" s="30">
        <v>43008</v>
      </c>
      <c r="B123" s="32">
        <v>-134023.79999999999</v>
      </c>
      <c r="C123" s="32">
        <v>-42355.7</v>
      </c>
      <c r="D123" s="32"/>
      <c r="E123" s="31">
        <f t="shared" si="11"/>
        <v>-176379.5</v>
      </c>
      <c r="F123" s="32">
        <v>112382.3</v>
      </c>
      <c r="G123" s="32">
        <v>550738.80000000005</v>
      </c>
      <c r="H123" s="32"/>
      <c r="I123" s="32">
        <v>44013.45</v>
      </c>
      <c r="J123" s="32">
        <v>62698.6</v>
      </c>
      <c r="K123" s="32">
        <v>538362.6</v>
      </c>
      <c r="L123" s="33">
        <f t="shared" si="8"/>
        <v>1308195.75</v>
      </c>
      <c r="M123" s="32">
        <v>234692.7</v>
      </c>
      <c r="N123" s="31">
        <v>36826.199999999997</v>
      </c>
      <c r="O123" s="33">
        <f t="shared" si="9"/>
        <v>1036676.8500000001</v>
      </c>
      <c r="P123" s="38">
        <v>28033</v>
      </c>
      <c r="Q123" s="33">
        <v>893468</v>
      </c>
      <c r="R123" s="33">
        <v>56.1</v>
      </c>
      <c r="S123" s="31">
        <f t="shared" si="13"/>
        <v>921557.1</v>
      </c>
      <c r="T123" s="35">
        <f t="shared" si="15"/>
        <v>1958233.9500000002</v>
      </c>
      <c r="U123" s="31">
        <f t="shared" si="16"/>
        <v>1781854.4500000002</v>
      </c>
    </row>
    <row r="124" spans="1:21" s="37" customFormat="1" ht="15.75">
      <c r="A124" s="30">
        <v>43039</v>
      </c>
      <c r="B124" s="32">
        <v>-126420.60000000003</v>
      </c>
      <c r="C124" s="32">
        <v>12222.300000000017</v>
      </c>
      <c r="D124" s="32"/>
      <c r="E124" s="31">
        <f t="shared" si="11"/>
        <v>-114198.30000000002</v>
      </c>
      <c r="F124" s="32">
        <v>144881.70000000001</v>
      </c>
      <c r="G124" s="32">
        <v>550691.5</v>
      </c>
      <c r="H124" s="32"/>
      <c r="I124" s="32">
        <v>39800.766666666663</v>
      </c>
      <c r="J124" s="32">
        <v>59912</v>
      </c>
      <c r="K124" s="32">
        <v>537082.9</v>
      </c>
      <c r="L124" s="33">
        <f t="shared" si="8"/>
        <v>1332368.8666666667</v>
      </c>
      <c r="M124" s="32">
        <v>300928.10000000003</v>
      </c>
      <c r="N124" s="31">
        <v>36557</v>
      </c>
      <c r="O124" s="33">
        <f t="shared" si="9"/>
        <v>994883.7666666666</v>
      </c>
      <c r="P124" s="38">
        <v>29792.5</v>
      </c>
      <c r="Q124" s="33">
        <v>903481.13333333319</v>
      </c>
      <c r="R124" s="33">
        <v>47.7</v>
      </c>
      <c r="S124" s="31">
        <f t="shared" si="13"/>
        <v>933321.33333333314</v>
      </c>
      <c r="T124" s="35">
        <f t="shared" si="15"/>
        <v>1928205.0999999996</v>
      </c>
      <c r="U124" s="31">
        <f t="shared" si="16"/>
        <v>1814006.7999999996</v>
      </c>
    </row>
    <row r="125" spans="1:21" s="37" customFormat="1" ht="15.75">
      <c r="A125" s="30">
        <v>43069</v>
      </c>
      <c r="B125" s="32">
        <v>-145157.30000000002</v>
      </c>
      <c r="C125" s="32">
        <v>814</v>
      </c>
      <c r="D125" s="32"/>
      <c r="E125" s="31">
        <f t="shared" si="11"/>
        <v>-144343.30000000002</v>
      </c>
      <c r="F125" s="32">
        <v>150659</v>
      </c>
      <c r="G125" s="32">
        <v>572181.1</v>
      </c>
      <c r="H125" s="32"/>
      <c r="I125" s="32">
        <v>32592.883333333335</v>
      </c>
      <c r="J125" s="32">
        <v>59912</v>
      </c>
      <c r="K125" s="32">
        <v>536443</v>
      </c>
      <c r="L125" s="33">
        <f t="shared" si="8"/>
        <v>1351787.9833333334</v>
      </c>
      <c r="M125" s="32">
        <v>268557.89999999997</v>
      </c>
      <c r="N125" s="31">
        <v>44760.4</v>
      </c>
      <c r="O125" s="33">
        <f t="shared" si="9"/>
        <v>1038469.6833333335</v>
      </c>
      <c r="P125" s="38">
        <v>33823.800000000003</v>
      </c>
      <c r="Q125" s="33">
        <v>905361.26666666672</v>
      </c>
      <c r="R125" s="33">
        <v>4522.3</v>
      </c>
      <c r="S125" s="31">
        <f t="shared" si="13"/>
        <v>943707.36666666681</v>
      </c>
      <c r="T125" s="35">
        <f t="shared" si="15"/>
        <v>1982177.0500000003</v>
      </c>
      <c r="U125" s="31">
        <f t="shared" si="16"/>
        <v>1837833.7500000002</v>
      </c>
    </row>
    <row r="126" spans="1:21" s="37" customFormat="1" ht="15.75">
      <c r="A126" s="30">
        <v>43100</v>
      </c>
      <c r="B126" s="32">
        <v>-144480.39999999997</v>
      </c>
      <c r="C126" s="32">
        <v>-9919.6000000000058</v>
      </c>
      <c r="D126" s="32" t="s">
        <v>2</v>
      </c>
      <c r="E126" s="31">
        <f t="shared" si="11"/>
        <v>-154399.99999999997</v>
      </c>
      <c r="F126" s="32">
        <v>194279.4</v>
      </c>
      <c r="G126" s="32">
        <v>643490.6</v>
      </c>
      <c r="H126" s="32"/>
      <c r="I126" s="32">
        <v>30924.9</v>
      </c>
      <c r="J126" s="32">
        <v>57125.4</v>
      </c>
      <c r="K126" s="32">
        <v>535803.19999999995</v>
      </c>
      <c r="L126" s="33">
        <f t="shared" si="8"/>
        <v>1461623.5</v>
      </c>
      <c r="M126" s="32">
        <v>300060.10000000009</v>
      </c>
      <c r="N126" s="31">
        <v>49349</v>
      </c>
      <c r="O126" s="33">
        <f t="shared" si="9"/>
        <v>1112214.3999999999</v>
      </c>
      <c r="P126" s="38">
        <v>28762.899999999998</v>
      </c>
      <c r="Q126" s="33">
        <v>859051.5</v>
      </c>
      <c r="R126" s="33">
        <v>4937.3999999999996</v>
      </c>
      <c r="S126" s="31">
        <f t="shared" si="13"/>
        <v>892751.8</v>
      </c>
      <c r="T126" s="35">
        <f t="shared" si="15"/>
        <v>2004966.2</v>
      </c>
      <c r="U126" s="31">
        <f t="shared" si="16"/>
        <v>1850566.2</v>
      </c>
    </row>
    <row r="127" spans="1:21" s="37" customFormat="1" ht="15.75">
      <c r="A127" s="30">
        <v>43131</v>
      </c>
      <c r="B127" s="32">
        <v>-165010.79999999999</v>
      </c>
      <c r="C127" s="32">
        <v>-12497.699999999983</v>
      </c>
      <c r="D127" s="32" t="s">
        <v>2</v>
      </c>
      <c r="E127" s="31">
        <f t="shared" si="11"/>
        <v>-177508.49999999997</v>
      </c>
      <c r="F127" s="32">
        <v>154611.4</v>
      </c>
      <c r="G127" s="32">
        <v>662177.9</v>
      </c>
      <c r="H127" s="32"/>
      <c r="I127" s="32">
        <v>29868.35</v>
      </c>
      <c r="J127" s="32">
        <v>55732.1</v>
      </c>
      <c r="K127" s="32">
        <v>535163.30000000005</v>
      </c>
      <c r="L127" s="33">
        <f t="shared" si="8"/>
        <v>1437553.05</v>
      </c>
      <c r="M127" s="32">
        <v>273185</v>
      </c>
      <c r="N127" s="31">
        <v>53988.5</v>
      </c>
      <c r="O127" s="33">
        <f t="shared" si="9"/>
        <v>1110379.55</v>
      </c>
      <c r="P127" s="38">
        <v>25425.200000000001</v>
      </c>
      <c r="Q127" s="33">
        <v>861275.6</v>
      </c>
      <c r="R127" s="33">
        <v>4778.2</v>
      </c>
      <c r="S127" s="31">
        <f t="shared" si="13"/>
        <v>891478.99999999988</v>
      </c>
      <c r="T127" s="35">
        <f t="shared" si="15"/>
        <v>2001858.5499999998</v>
      </c>
      <c r="U127" s="31">
        <f t="shared" si="16"/>
        <v>1824350.0499999998</v>
      </c>
    </row>
    <row r="128" spans="1:21" s="37" customFormat="1" ht="15.75">
      <c r="A128" s="30">
        <v>43159</v>
      </c>
      <c r="B128" s="32">
        <v>-136231.60000000003</v>
      </c>
      <c r="C128" s="32">
        <v>7962.1999999999825</v>
      </c>
      <c r="D128" s="32" t="s">
        <v>2</v>
      </c>
      <c r="E128" s="31">
        <f t="shared" si="11"/>
        <v>-128269.40000000005</v>
      </c>
      <c r="F128" s="32">
        <v>156799.4</v>
      </c>
      <c r="G128" s="32">
        <v>689269.8</v>
      </c>
      <c r="H128" s="32"/>
      <c r="I128" s="32">
        <v>33745.700000000004</v>
      </c>
      <c r="J128" s="32">
        <v>54338.8</v>
      </c>
      <c r="K128" s="32">
        <v>534523.4</v>
      </c>
      <c r="L128" s="33">
        <f t="shared" si="8"/>
        <v>1468677.1</v>
      </c>
      <c r="M128" s="32">
        <v>274672.40000000002</v>
      </c>
      <c r="N128" s="31">
        <v>54895.000000000007</v>
      </c>
      <c r="O128" s="33">
        <f t="shared" si="9"/>
        <v>1139109.7000000002</v>
      </c>
      <c r="P128" s="38">
        <v>17299.899999999998</v>
      </c>
      <c r="Q128" s="33">
        <v>893761.9</v>
      </c>
      <c r="R128" s="33">
        <v>4731.8</v>
      </c>
      <c r="S128" s="31">
        <f t="shared" si="13"/>
        <v>915793.60000000009</v>
      </c>
      <c r="T128" s="35">
        <f t="shared" si="15"/>
        <v>2054903.3000000003</v>
      </c>
      <c r="U128" s="31">
        <f t="shared" si="16"/>
        <v>1926633.9000000001</v>
      </c>
    </row>
    <row r="129" spans="1:21" s="37" customFormat="1" ht="15.75">
      <c r="A129" s="30">
        <v>43190</v>
      </c>
      <c r="B129" s="32">
        <v>-180109.99999999997</v>
      </c>
      <c r="C129" s="32">
        <v>10814.499999999913</v>
      </c>
      <c r="D129" s="32" t="s">
        <v>2</v>
      </c>
      <c r="E129" s="31">
        <f t="shared" si="11"/>
        <v>-169295.50000000006</v>
      </c>
      <c r="F129" s="32">
        <v>151279.20000000001</v>
      </c>
      <c r="G129" s="32">
        <v>716057.39999999991</v>
      </c>
      <c r="H129" s="32"/>
      <c r="I129" s="32">
        <v>39655.5</v>
      </c>
      <c r="J129" s="32">
        <v>52945.5</v>
      </c>
      <c r="K129" s="32">
        <v>533314.30000000005</v>
      </c>
      <c r="L129" s="33">
        <f t="shared" si="8"/>
        <v>1493251.9</v>
      </c>
      <c r="M129" s="32">
        <v>290474.59999999998</v>
      </c>
      <c r="N129" s="31">
        <v>56551.900000000009</v>
      </c>
      <c r="O129" s="33">
        <f t="shared" si="9"/>
        <v>1146225.3999999999</v>
      </c>
      <c r="P129" s="38">
        <v>16032.599999999999</v>
      </c>
      <c r="Q129" s="33">
        <v>887426.7</v>
      </c>
      <c r="R129" s="33">
        <v>5422.5</v>
      </c>
      <c r="S129" s="31">
        <f t="shared" si="13"/>
        <v>908881.79999999993</v>
      </c>
      <c r="T129" s="35">
        <f t="shared" si="15"/>
        <v>2055107.1999999997</v>
      </c>
      <c r="U129" s="31">
        <f t="shared" si="16"/>
        <v>1885811.6999999997</v>
      </c>
    </row>
    <row r="130" spans="1:21" s="37" customFormat="1" ht="15.75">
      <c r="A130" s="30">
        <v>43220</v>
      </c>
      <c r="B130" s="32">
        <v>-152351.79999999999</v>
      </c>
      <c r="C130" s="32">
        <v>-4773.4999999999709</v>
      </c>
      <c r="D130" s="32" t="s">
        <v>2</v>
      </c>
      <c r="E130" s="31">
        <f t="shared" si="11"/>
        <v>-157125.29999999996</v>
      </c>
      <c r="F130" s="32">
        <v>130576.4</v>
      </c>
      <c r="G130" s="32">
        <v>744753.10000000009</v>
      </c>
      <c r="H130" s="32"/>
      <c r="I130" s="32">
        <v>31374.366666666669</v>
      </c>
      <c r="J130" s="32">
        <v>52945.5</v>
      </c>
      <c r="K130" s="32">
        <v>532175.80000000005</v>
      </c>
      <c r="L130" s="33">
        <f t="shared" si="8"/>
        <v>1491825.166666667</v>
      </c>
      <c r="M130" s="32">
        <v>289983.09999999998</v>
      </c>
      <c r="N130" s="31">
        <v>59990</v>
      </c>
      <c r="O130" s="33">
        <f t="shared" si="9"/>
        <v>1141852.0666666669</v>
      </c>
      <c r="P130" s="38">
        <v>14505.4</v>
      </c>
      <c r="Q130" s="33">
        <v>894409.2</v>
      </c>
      <c r="R130" s="33">
        <v>4964</v>
      </c>
      <c r="S130" s="31">
        <f t="shared" si="13"/>
        <v>913878.6</v>
      </c>
      <c r="T130" s="35">
        <f t="shared" si="15"/>
        <v>2055730.666666667</v>
      </c>
      <c r="U130" s="31">
        <f t="shared" si="16"/>
        <v>1898605.3666666669</v>
      </c>
    </row>
    <row r="131" spans="1:21" s="37" customFormat="1" ht="15.75">
      <c r="A131" s="30">
        <v>43251</v>
      </c>
      <c r="B131" s="32">
        <v>-171824.40000000002</v>
      </c>
      <c r="C131" s="32">
        <v>-2357.6999999999825</v>
      </c>
      <c r="D131" s="32" t="s">
        <v>2</v>
      </c>
      <c r="E131" s="31">
        <f t="shared" si="11"/>
        <v>-174182.1</v>
      </c>
      <c r="F131" s="32">
        <v>134896.70000000001</v>
      </c>
      <c r="G131" s="32">
        <v>772226.09999999986</v>
      </c>
      <c r="H131" s="32"/>
      <c r="I131" s="32">
        <v>31843.633333333335</v>
      </c>
      <c r="J131" s="32">
        <v>50158.9</v>
      </c>
      <c r="K131" s="32">
        <v>529757.5</v>
      </c>
      <c r="L131" s="33">
        <f t="shared" si="8"/>
        <v>1518882.833333333</v>
      </c>
      <c r="M131" s="32">
        <v>293405.5</v>
      </c>
      <c r="N131" s="31">
        <v>59494.400000000001</v>
      </c>
      <c r="O131" s="33">
        <f t="shared" si="9"/>
        <v>1165982.9333333331</v>
      </c>
      <c r="P131" s="38">
        <v>14832.3</v>
      </c>
      <c r="Q131" s="33">
        <v>889153.7</v>
      </c>
      <c r="R131" s="33">
        <v>5359.7</v>
      </c>
      <c r="S131" s="31">
        <f t="shared" si="13"/>
        <v>909345.7</v>
      </c>
      <c r="T131" s="35">
        <f t="shared" si="15"/>
        <v>2075328.6333333331</v>
      </c>
      <c r="U131" s="31">
        <f t="shared" si="16"/>
        <v>1901146.533333333</v>
      </c>
    </row>
    <row r="132" spans="1:21" s="37" customFormat="1" ht="15.75">
      <c r="A132" s="30">
        <v>43281</v>
      </c>
      <c r="B132" s="32">
        <v>-175279.1</v>
      </c>
      <c r="C132" s="32">
        <v>-25976.599999999977</v>
      </c>
      <c r="D132" s="32" t="s">
        <v>2</v>
      </c>
      <c r="E132" s="31">
        <f t="shared" si="11"/>
        <v>-201255.69999999998</v>
      </c>
      <c r="F132" s="32">
        <v>201181.6</v>
      </c>
      <c r="G132" s="32">
        <v>799117.89999999991</v>
      </c>
      <c r="H132" s="32"/>
      <c r="I132" s="32">
        <v>61935.900000000009</v>
      </c>
      <c r="J132" s="32">
        <v>50158.9</v>
      </c>
      <c r="K132" s="32">
        <v>529117.6</v>
      </c>
      <c r="L132" s="33">
        <f t="shared" si="8"/>
        <v>1641511.9</v>
      </c>
      <c r="M132" s="32">
        <v>398416.1</v>
      </c>
      <c r="N132" s="31">
        <v>53521.5</v>
      </c>
      <c r="O132" s="33">
        <f t="shared" si="9"/>
        <v>1189574.2999999998</v>
      </c>
      <c r="P132" s="38">
        <v>24405.8</v>
      </c>
      <c r="Q132" s="33">
        <v>940441</v>
      </c>
      <c r="R132" s="33">
        <v>5533.2</v>
      </c>
      <c r="S132" s="31">
        <f t="shared" si="13"/>
        <v>970380</v>
      </c>
      <c r="T132" s="35">
        <f t="shared" si="15"/>
        <v>2159954.2999999998</v>
      </c>
      <c r="U132" s="31">
        <f t="shared" si="16"/>
        <v>1958698.5999999999</v>
      </c>
    </row>
    <row r="133" spans="1:21" s="37" customFormat="1" ht="15.75">
      <c r="A133" s="30">
        <v>43312</v>
      </c>
      <c r="B133" s="32">
        <v>-174985.09999999998</v>
      </c>
      <c r="C133" s="32">
        <v>-24669.800000000017</v>
      </c>
      <c r="D133" s="32">
        <v>-97.2</v>
      </c>
      <c r="E133" s="31">
        <f t="shared" si="11"/>
        <v>-199752.1</v>
      </c>
      <c r="F133" s="32">
        <v>162239</v>
      </c>
      <c r="G133" s="32">
        <v>802635.2</v>
      </c>
      <c r="H133" s="32"/>
      <c r="I133" s="32">
        <v>59864.53333333334</v>
      </c>
      <c r="J133" s="32">
        <v>48765.599999999999</v>
      </c>
      <c r="K133" s="32">
        <v>528548.4</v>
      </c>
      <c r="L133" s="33">
        <f t="shared" si="8"/>
        <v>1602052.7333333334</v>
      </c>
      <c r="M133" s="32">
        <v>349061.9</v>
      </c>
      <c r="N133" s="31">
        <v>47099.000000000007</v>
      </c>
      <c r="O133" s="33">
        <f t="shared" si="9"/>
        <v>1205891.8333333335</v>
      </c>
      <c r="P133" s="38">
        <v>27074.999999999996</v>
      </c>
      <c r="Q133" s="33">
        <v>975970.7</v>
      </c>
      <c r="R133" s="33">
        <v>5486.6</v>
      </c>
      <c r="S133" s="31">
        <f t="shared" si="13"/>
        <v>1008532.2999999999</v>
      </c>
      <c r="T133" s="35">
        <f t="shared" si="15"/>
        <v>2214424.1333333333</v>
      </c>
      <c r="U133" s="31">
        <f t="shared" si="16"/>
        <v>2014672.0333333332</v>
      </c>
    </row>
    <row r="134" spans="1:21" s="37" customFormat="1" ht="15.75">
      <c r="A134" s="30">
        <v>43343</v>
      </c>
      <c r="B134" s="32">
        <v>-171826.4</v>
      </c>
      <c r="C134" s="32">
        <v>-36737.100000000035</v>
      </c>
      <c r="D134" s="32">
        <v>-194.4</v>
      </c>
      <c r="E134" s="31">
        <f t="shared" si="11"/>
        <v>-208757.90000000002</v>
      </c>
      <c r="F134" s="32">
        <v>148049.1</v>
      </c>
      <c r="G134" s="32">
        <v>844453.9</v>
      </c>
      <c r="H134" s="32"/>
      <c r="I134" s="32">
        <v>61327.46666666666</v>
      </c>
      <c r="J134" s="32">
        <v>47372.3</v>
      </c>
      <c r="K134" s="32">
        <v>527339.19999999995</v>
      </c>
      <c r="L134" s="33">
        <f t="shared" si="8"/>
        <v>1628541.9666666666</v>
      </c>
      <c r="M134" s="32">
        <v>340200.7</v>
      </c>
      <c r="N134" s="31">
        <v>61491.499999999993</v>
      </c>
      <c r="O134" s="33">
        <f t="shared" si="9"/>
        <v>1226849.7666666666</v>
      </c>
      <c r="P134" s="38">
        <v>36096.699999999997</v>
      </c>
      <c r="Q134" s="33">
        <v>976985.2</v>
      </c>
      <c r="R134" s="33">
        <v>5519.4</v>
      </c>
      <c r="S134" s="31">
        <f t="shared" si="13"/>
        <v>1018601.2999999999</v>
      </c>
      <c r="T134" s="35">
        <f t="shared" si="15"/>
        <v>2245451.0666666664</v>
      </c>
      <c r="U134" s="31">
        <f t="shared" si="16"/>
        <v>2036693.1666666665</v>
      </c>
    </row>
    <row r="135" spans="1:21" s="37" customFormat="1" ht="15.75">
      <c r="A135" s="30">
        <v>43373</v>
      </c>
      <c r="B135" s="32">
        <v>-185086.7</v>
      </c>
      <c r="C135" s="32">
        <v>-31906.400000000052</v>
      </c>
      <c r="D135" s="32">
        <v>-291.60000000000002</v>
      </c>
      <c r="E135" s="31">
        <f t="shared" si="11"/>
        <v>-217284.70000000007</v>
      </c>
      <c r="F135" s="32">
        <v>151767</v>
      </c>
      <c r="G135" s="32">
        <v>868808.30000000016</v>
      </c>
      <c r="H135" s="32"/>
      <c r="I135" s="32">
        <v>65477.4</v>
      </c>
      <c r="J135" s="32">
        <v>45979</v>
      </c>
      <c r="K135" s="32">
        <v>526130.1</v>
      </c>
      <c r="L135" s="33">
        <f t="shared" ref="L135:L138" si="17">SUM(F135:K135)</f>
        <v>1658161.8000000003</v>
      </c>
      <c r="M135" s="32">
        <v>353050.4</v>
      </c>
      <c r="N135" s="31">
        <v>67423.399999999994</v>
      </c>
      <c r="O135" s="33">
        <f t="shared" ref="O135:O138" si="18">L135-M135-N135</f>
        <v>1237688.0000000005</v>
      </c>
      <c r="P135" s="38">
        <v>32676.399999999998</v>
      </c>
      <c r="Q135" s="33">
        <v>989136.8</v>
      </c>
      <c r="R135" s="33">
        <v>5747.6</v>
      </c>
      <c r="S135" s="31">
        <f t="shared" si="13"/>
        <v>1027560.8</v>
      </c>
      <c r="T135" s="35">
        <f t="shared" si="15"/>
        <v>2265248.8000000007</v>
      </c>
      <c r="U135" s="31">
        <f t="shared" si="16"/>
        <v>2047964.1000000006</v>
      </c>
    </row>
    <row r="136" spans="1:21" s="37" customFormat="1" ht="15.75">
      <c r="A136" s="30">
        <v>43404</v>
      </c>
      <c r="B136" s="32">
        <v>-167112.20000000004</v>
      </c>
      <c r="C136" s="32">
        <v>-44112.100000000035</v>
      </c>
      <c r="D136" s="32">
        <v>-194.40000000000003</v>
      </c>
      <c r="E136" s="31">
        <f t="shared" ref="E136:E138" si="19">SUM(B136:D136)</f>
        <v>-211418.70000000007</v>
      </c>
      <c r="F136" s="32">
        <v>182655.4</v>
      </c>
      <c r="G136" s="32">
        <v>889089.8</v>
      </c>
      <c r="H136" s="32"/>
      <c r="I136" s="32">
        <v>63695.033333333326</v>
      </c>
      <c r="J136" s="32">
        <v>44585.7</v>
      </c>
      <c r="K136" s="32">
        <v>523711.8</v>
      </c>
      <c r="L136" s="33">
        <f t="shared" si="17"/>
        <v>1703737.7333333334</v>
      </c>
      <c r="M136" s="32">
        <v>358860.4</v>
      </c>
      <c r="N136" s="31">
        <v>71166.3</v>
      </c>
      <c r="O136" s="33">
        <f t="shared" si="18"/>
        <v>1273711.0333333334</v>
      </c>
      <c r="P136" s="38">
        <v>44255.700000000012</v>
      </c>
      <c r="Q136" s="33">
        <v>1011544.2</v>
      </c>
      <c r="R136" s="33">
        <v>5786.5</v>
      </c>
      <c r="S136" s="31">
        <f t="shared" si="13"/>
        <v>1061586.3999999999</v>
      </c>
      <c r="T136" s="35">
        <f t="shared" si="15"/>
        <v>2335297.4333333336</v>
      </c>
      <c r="U136" s="31">
        <f t="shared" si="16"/>
        <v>2123878.7333333334</v>
      </c>
    </row>
    <row r="137" spans="1:21" s="37" customFormat="1" ht="15.75">
      <c r="A137" s="30">
        <v>43434</v>
      </c>
      <c r="B137" s="32">
        <v>-156463.60000000003</v>
      </c>
      <c r="C137" s="32">
        <v>-38153.599999999977</v>
      </c>
      <c r="D137" s="32">
        <v>-97.200000000000017</v>
      </c>
      <c r="E137" s="31">
        <f t="shared" si="19"/>
        <v>-194714.40000000002</v>
      </c>
      <c r="F137" s="32">
        <v>182857.3</v>
      </c>
      <c r="G137" s="32">
        <v>913706.2</v>
      </c>
      <c r="H137" s="32"/>
      <c r="I137" s="32">
        <v>63621.566666666666</v>
      </c>
      <c r="J137" s="32">
        <v>43192.4</v>
      </c>
      <c r="K137" s="32">
        <v>523711.8</v>
      </c>
      <c r="L137" s="33">
        <f t="shared" si="17"/>
        <v>1727089.2666666666</v>
      </c>
      <c r="M137" s="32">
        <v>349956.5</v>
      </c>
      <c r="N137" s="31">
        <v>64784.799999999996</v>
      </c>
      <c r="O137" s="33">
        <f t="shared" si="18"/>
        <v>1312347.9666666666</v>
      </c>
      <c r="P137" s="38">
        <v>42729.400000000009</v>
      </c>
      <c r="Q137" s="33">
        <v>1016711.4</v>
      </c>
      <c r="R137" s="33">
        <v>5665.9</v>
      </c>
      <c r="S137" s="31">
        <f t="shared" si="13"/>
        <v>1065106.7</v>
      </c>
      <c r="T137" s="35">
        <f t="shared" si="15"/>
        <v>2377454.6666666665</v>
      </c>
      <c r="U137" s="31">
        <f t="shared" si="16"/>
        <v>2182740.2666666666</v>
      </c>
    </row>
    <row r="138" spans="1:21" s="37" customFormat="1" ht="15.75">
      <c r="A138" s="30">
        <v>43465</v>
      </c>
      <c r="B138" s="32">
        <v>-165217.1</v>
      </c>
      <c r="C138" s="32">
        <v>-37983.9</v>
      </c>
      <c r="D138" s="32" t="s">
        <v>2</v>
      </c>
      <c r="E138" s="31">
        <f t="shared" si="19"/>
        <v>-203201</v>
      </c>
      <c r="F138" s="32">
        <v>210409.1</v>
      </c>
      <c r="G138" s="32">
        <v>932439.20000000007</v>
      </c>
      <c r="H138" s="32"/>
      <c r="I138" s="32">
        <v>58884.2</v>
      </c>
      <c r="J138" s="32">
        <v>40405.800000000003</v>
      </c>
      <c r="K138" s="32">
        <v>521293.6</v>
      </c>
      <c r="L138" s="33">
        <f t="shared" si="17"/>
        <v>1763431.9</v>
      </c>
      <c r="M138" s="32">
        <v>353522.4</v>
      </c>
      <c r="N138" s="31">
        <v>72375.499999999985</v>
      </c>
      <c r="O138" s="33">
        <f t="shared" si="18"/>
        <v>1337534</v>
      </c>
      <c r="P138" s="38">
        <v>42063.6</v>
      </c>
      <c r="Q138" s="33">
        <v>983859.20000000019</v>
      </c>
      <c r="R138" s="33">
        <v>6028.8</v>
      </c>
      <c r="S138" s="31">
        <f t="shared" si="13"/>
        <v>1031951.6000000002</v>
      </c>
      <c r="T138" s="35">
        <f t="shared" si="15"/>
        <v>2369485.6</v>
      </c>
      <c r="U138" s="31">
        <f t="shared" si="16"/>
        <v>2166284.6</v>
      </c>
    </row>
    <row r="139" spans="1:21" s="37" customFormat="1" ht="15.75">
      <c r="A139" s="30">
        <v>43466</v>
      </c>
      <c r="B139" s="32">
        <v>-182568.59999999998</v>
      </c>
      <c r="C139" s="32">
        <v>-55757.799999999988</v>
      </c>
      <c r="D139" s="32" t="s">
        <v>2</v>
      </c>
      <c r="E139" s="31">
        <f t="shared" ref="E139:E162" si="20">+SUM(B139:D139)</f>
        <v>-238326.39999999997</v>
      </c>
      <c r="F139" s="32">
        <v>174198.6</v>
      </c>
      <c r="G139" s="32">
        <v>986516.79999999993</v>
      </c>
      <c r="H139" s="32"/>
      <c r="I139" s="32">
        <v>57507.799999999996</v>
      </c>
      <c r="J139" s="32">
        <v>40405.800000000003</v>
      </c>
      <c r="K139" s="32">
        <v>521293.6</v>
      </c>
      <c r="L139" s="33">
        <f t="shared" ref="L139:L162" si="21">+SUM(F139:K139)</f>
        <v>1779922.6</v>
      </c>
      <c r="M139" s="32">
        <v>370633.2</v>
      </c>
      <c r="N139" s="31">
        <v>61052.1</v>
      </c>
      <c r="O139" s="33">
        <f t="shared" ref="O139:O162" si="22">+L139-M139-N139</f>
        <v>1348237.3</v>
      </c>
      <c r="P139" s="38">
        <v>36041.299999999996</v>
      </c>
      <c r="Q139" s="33">
        <v>977163.1</v>
      </c>
      <c r="R139" s="33">
        <v>6363.7</v>
      </c>
      <c r="S139" s="31">
        <f t="shared" ref="S139:S140" si="23">SUM(P139:R139)</f>
        <v>1019568.1</v>
      </c>
      <c r="T139" s="35">
        <f t="shared" ref="T139:T162" si="24">SUM(O139,S139)</f>
        <v>2367805.4</v>
      </c>
      <c r="U139" s="31">
        <f t="shared" ref="U139:U162" si="25">SUM(E139,T139)</f>
        <v>2129479</v>
      </c>
    </row>
    <row r="140" spans="1:21" s="37" customFormat="1" ht="15.75">
      <c r="A140" s="30">
        <v>43524</v>
      </c>
      <c r="B140" s="32">
        <v>-148014.80000000002</v>
      </c>
      <c r="C140" s="32">
        <v>-56830.499999999971</v>
      </c>
      <c r="D140" s="32" t="s">
        <v>2</v>
      </c>
      <c r="E140" s="31">
        <f t="shared" si="20"/>
        <v>-204845.3</v>
      </c>
      <c r="F140" s="32">
        <v>195688.4</v>
      </c>
      <c r="G140" s="32">
        <v>1016767.7000000001</v>
      </c>
      <c r="H140" s="32"/>
      <c r="I140" s="32">
        <v>55457.5</v>
      </c>
      <c r="J140" s="32">
        <v>39012.5</v>
      </c>
      <c r="K140" s="32">
        <v>520084.5</v>
      </c>
      <c r="L140" s="33">
        <f t="shared" si="21"/>
        <v>1827010.6</v>
      </c>
      <c r="M140" s="32">
        <v>368080.4</v>
      </c>
      <c r="N140" s="31">
        <v>64711.1</v>
      </c>
      <c r="O140" s="33">
        <f t="shared" si="22"/>
        <v>1394219.1</v>
      </c>
      <c r="P140" s="38">
        <v>34014.400000000001</v>
      </c>
      <c r="Q140" s="33">
        <v>991824.5</v>
      </c>
      <c r="R140" s="33">
        <v>6912.9</v>
      </c>
      <c r="S140" s="31">
        <f t="shared" si="23"/>
        <v>1032751.8</v>
      </c>
      <c r="T140" s="35">
        <f t="shared" si="24"/>
        <v>2426970.9000000004</v>
      </c>
      <c r="U140" s="31">
        <f t="shared" si="25"/>
        <v>2222125.6000000006</v>
      </c>
    </row>
    <row r="141" spans="1:21" s="37" customFormat="1" ht="15.75">
      <c r="A141" s="30">
        <v>43555</v>
      </c>
      <c r="B141" s="32">
        <v>-166782.39999999999</v>
      </c>
      <c r="C141" s="32">
        <v>-62620.70000000007</v>
      </c>
      <c r="D141" s="32" t="s">
        <v>2</v>
      </c>
      <c r="E141" s="31">
        <f t="shared" si="20"/>
        <v>-229403.10000000006</v>
      </c>
      <c r="F141" s="32">
        <v>221728.4</v>
      </c>
      <c r="G141" s="32">
        <f>74137.1+941488.5+22035.7</f>
        <v>1037661.2999999999</v>
      </c>
      <c r="H141" s="32"/>
      <c r="I141" s="32">
        <v>66134.8</v>
      </c>
      <c r="J141" s="32">
        <v>36225.9</v>
      </c>
      <c r="K141" s="32">
        <v>518306</v>
      </c>
      <c r="L141" s="33">
        <f t="shared" si="21"/>
        <v>1880056.4</v>
      </c>
      <c r="M141" s="32">
        <v>412450</v>
      </c>
      <c r="N141" s="31">
        <v>58269.8</v>
      </c>
      <c r="O141" s="33">
        <f t="shared" si="22"/>
        <v>1409336.5999999999</v>
      </c>
      <c r="P141" s="38">
        <v>32296.6</v>
      </c>
      <c r="Q141" s="33">
        <v>1008148.3000000002</v>
      </c>
      <c r="R141" s="33">
        <v>6662.7</v>
      </c>
      <c r="S141" s="31">
        <f t="shared" ref="S141" si="26">SUM(P141:R141)</f>
        <v>1047107.6000000001</v>
      </c>
      <c r="T141" s="35">
        <f t="shared" si="24"/>
        <v>2456444.2000000002</v>
      </c>
      <c r="U141" s="31">
        <f t="shared" si="25"/>
        <v>2227041.1</v>
      </c>
    </row>
    <row r="142" spans="1:21" s="37" customFormat="1" ht="15.75">
      <c r="A142" s="30">
        <v>43585</v>
      </c>
      <c r="B142" s="32">
        <f>138621.2-298492</f>
        <v>-159870.79999999999</v>
      </c>
      <c r="C142" s="32">
        <f>120674.2-197777.1</f>
        <v>-77102.900000000009</v>
      </c>
      <c r="D142" s="32" t="s">
        <v>2</v>
      </c>
      <c r="E142" s="31">
        <f t="shared" si="20"/>
        <v>-236973.7</v>
      </c>
      <c r="F142" s="32">
        <v>195994.1</v>
      </c>
      <c r="G142" s="32">
        <f>50233.1+1006432.8+19500</f>
        <v>1076165.9000000001</v>
      </c>
      <c r="H142" s="32"/>
      <c r="I142" s="32">
        <v>66482.8</v>
      </c>
      <c r="J142" s="32">
        <v>36225.9</v>
      </c>
      <c r="K142" s="32">
        <v>517334.5</v>
      </c>
      <c r="L142" s="33">
        <f t="shared" si="21"/>
        <v>1892203.2000000002</v>
      </c>
      <c r="M142" s="32">
        <v>390323.7</v>
      </c>
      <c r="N142" s="31">
        <v>56955.6</v>
      </c>
      <c r="O142" s="33">
        <f t="shared" si="22"/>
        <v>1444923.9000000001</v>
      </c>
      <c r="P142" s="38">
        <v>33330.999999999993</v>
      </c>
      <c r="Q142" s="33">
        <v>1004160.3</v>
      </c>
      <c r="R142" s="33">
        <v>6674.3</v>
      </c>
      <c r="S142" s="31">
        <f t="shared" ref="S142" si="27">SUM(P142:R142)</f>
        <v>1044165.6000000001</v>
      </c>
      <c r="T142" s="35">
        <f t="shared" si="24"/>
        <v>2489089.5</v>
      </c>
      <c r="U142" s="31">
        <f t="shared" si="25"/>
        <v>2252115.7999999998</v>
      </c>
    </row>
    <row r="143" spans="1:21" s="37" customFormat="1" ht="15.75">
      <c r="A143" s="30">
        <v>43616</v>
      </c>
      <c r="B143" s="32">
        <f>188353.4-322255.6</f>
        <v>-133902.19999999998</v>
      </c>
      <c r="C143" s="32">
        <f>142300.4-198646.2</f>
        <v>-56345.800000000017</v>
      </c>
      <c r="D143" s="32" t="s">
        <v>2</v>
      </c>
      <c r="E143" s="31">
        <f t="shared" si="20"/>
        <v>-190248</v>
      </c>
      <c r="F143" s="32">
        <v>191866.3</v>
      </c>
      <c r="G143" s="32">
        <f>45273+1055617.8+16915</f>
        <v>1117805.8</v>
      </c>
      <c r="H143" s="32"/>
      <c r="I143" s="32">
        <v>59356.399999999994</v>
      </c>
      <c r="J143" s="32">
        <v>34832.6</v>
      </c>
      <c r="K143" s="32">
        <v>515247.9</v>
      </c>
      <c r="L143" s="33">
        <f t="shared" si="21"/>
        <v>1919109</v>
      </c>
      <c r="M143" s="32">
        <v>428305.4</v>
      </c>
      <c r="N143" s="31">
        <v>67301.8</v>
      </c>
      <c r="O143" s="33">
        <f t="shared" si="22"/>
        <v>1423501.8</v>
      </c>
      <c r="P143" s="38">
        <f>28149+101.6</f>
        <v>28250.6</v>
      </c>
      <c r="Q143" s="33">
        <v>1036819.9</v>
      </c>
      <c r="R143" s="33">
        <v>6967</v>
      </c>
      <c r="S143" s="31">
        <f t="shared" ref="S143:S162" si="28">SUM(P143:R143)</f>
        <v>1072037.5</v>
      </c>
      <c r="T143" s="35">
        <f t="shared" si="24"/>
        <v>2495539.2999999998</v>
      </c>
      <c r="U143" s="31">
        <f t="shared" si="25"/>
        <v>2305291.2999999998</v>
      </c>
    </row>
    <row r="144" spans="1:21" s="37" customFormat="1" ht="15.75">
      <c r="A144" s="30">
        <v>43646</v>
      </c>
      <c r="B144" s="32">
        <f>177153.1-298866.2</f>
        <v>-121713.1</v>
      </c>
      <c r="C144" s="32">
        <f>127120.2-199660</f>
        <v>-72539.8</v>
      </c>
      <c r="D144" s="32" t="s">
        <v>2</v>
      </c>
      <c r="E144" s="31">
        <f t="shared" si="20"/>
        <v>-194252.90000000002</v>
      </c>
      <c r="F144" s="32">
        <v>216009.2</v>
      </c>
      <c r="G144" s="32">
        <f>42174.9+1084518.3+16965</f>
        <v>1143658.2</v>
      </c>
      <c r="H144" s="32"/>
      <c r="I144" s="32">
        <v>59215</v>
      </c>
      <c r="J144" s="32">
        <v>32046</v>
      </c>
      <c r="K144" s="32">
        <v>514038.8</v>
      </c>
      <c r="L144" s="33">
        <f t="shared" si="21"/>
        <v>1964967.2</v>
      </c>
      <c r="M144" s="32">
        <v>427944.6</v>
      </c>
      <c r="N144" s="31">
        <v>62402.2</v>
      </c>
      <c r="O144" s="33">
        <f t="shared" si="22"/>
        <v>1474620.4000000001</v>
      </c>
      <c r="P144" s="38">
        <f>23367.3+101.6</f>
        <v>23468.899999999998</v>
      </c>
      <c r="Q144" s="33">
        <v>1073690.6000000001</v>
      </c>
      <c r="R144" s="33">
        <v>6546.1</v>
      </c>
      <c r="S144" s="31">
        <f t="shared" si="28"/>
        <v>1103705.6000000001</v>
      </c>
      <c r="T144" s="35">
        <f t="shared" si="24"/>
        <v>2578326</v>
      </c>
      <c r="U144" s="31">
        <f t="shared" si="25"/>
        <v>2384073.1</v>
      </c>
    </row>
    <row r="145" spans="1:21" s="37" customFormat="1" ht="18">
      <c r="A145" s="30" t="s">
        <v>64</v>
      </c>
      <c r="B145" s="32">
        <f>166708.8-300474.7</f>
        <v>-133765.90000000002</v>
      </c>
      <c r="C145" s="32">
        <f>130910.8-231174</f>
        <v>-100263.2</v>
      </c>
      <c r="D145" s="32" t="s">
        <v>2</v>
      </c>
      <c r="E145" s="31">
        <f t="shared" si="20"/>
        <v>-234029.10000000003</v>
      </c>
      <c r="F145" s="32">
        <v>158917.5</v>
      </c>
      <c r="G145" s="32">
        <f>43953+1112283.8+13837</f>
        <v>1170073.8</v>
      </c>
      <c r="H145" s="32"/>
      <c r="I145" s="32">
        <v>59569.2</v>
      </c>
      <c r="J145" s="32">
        <v>30652.7</v>
      </c>
      <c r="K145" s="32">
        <v>512829.7</v>
      </c>
      <c r="L145" s="33">
        <f t="shared" si="21"/>
        <v>1932042.9</v>
      </c>
      <c r="M145" s="32">
        <v>385962.8</v>
      </c>
      <c r="N145" s="31">
        <v>69016.7</v>
      </c>
      <c r="O145" s="33">
        <f t="shared" si="22"/>
        <v>1477063.4</v>
      </c>
      <c r="P145" s="38">
        <f>19521.9+101.6</f>
        <v>19623.5</v>
      </c>
      <c r="Q145" s="33">
        <v>1117284.0333333332</v>
      </c>
      <c r="R145" s="33">
        <v>6695.5999999999995</v>
      </c>
      <c r="S145" s="31">
        <f t="shared" si="28"/>
        <v>1143603.1333333333</v>
      </c>
      <c r="T145" s="35">
        <f t="shared" si="24"/>
        <v>2620666.5333333332</v>
      </c>
      <c r="U145" s="31">
        <f t="shared" si="25"/>
        <v>2386637.4333333331</v>
      </c>
    </row>
    <row r="146" spans="1:21" s="37" customFormat="1" ht="18">
      <c r="A146" s="30" t="s">
        <v>65</v>
      </c>
      <c r="B146" s="32">
        <f>143964.8-295856.6</f>
        <v>-151891.79999999999</v>
      </c>
      <c r="C146" s="32">
        <f>131114.5-221742.4</f>
        <v>-90627.9</v>
      </c>
      <c r="D146" s="32" t="s">
        <v>2</v>
      </c>
      <c r="E146" s="31">
        <f t="shared" si="20"/>
        <v>-242519.69999999998</v>
      </c>
      <c r="F146" s="32">
        <v>0</v>
      </c>
      <c r="G146" s="32">
        <f>44613+1152737.1+15106</f>
        <v>1212456.1000000001</v>
      </c>
      <c r="H146" s="32"/>
      <c r="I146" s="32">
        <v>59899.3</v>
      </c>
      <c r="J146" s="32">
        <v>30652.7</v>
      </c>
      <c r="K146" s="32">
        <v>728838.8</v>
      </c>
      <c r="L146" s="33">
        <f t="shared" si="21"/>
        <v>2031846.9000000001</v>
      </c>
      <c r="M146" s="32">
        <v>467552.1</v>
      </c>
      <c r="N146" s="31">
        <v>76766.3</v>
      </c>
      <c r="O146" s="33">
        <f t="shared" si="22"/>
        <v>1487528.5000000002</v>
      </c>
      <c r="P146" s="38">
        <f>19534+101.6</f>
        <v>19635.599999999999</v>
      </c>
      <c r="Q146" s="33">
        <v>1127544.6666666665</v>
      </c>
      <c r="R146" s="33">
        <v>6755.2</v>
      </c>
      <c r="S146" s="31">
        <f t="shared" si="28"/>
        <v>1153935.4666666666</v>
      </c>
      <c r="T146" s="35">
        <f t="shared" si="24"/>
        <v>2641463.9666666668</v>
      </c>
      <c r="U146" s="31">
        <f t="shared" si="25"/>
        <v>2398944.2666666666</v>
      </c>
    </row>
    <row r="147" spans="1:21" s="37" customFormat="1" ht="18">
      <c r="A147" s="30" t="s">
        <v>66</v>
      </c>
      <c r="B147" s="32">
        <f>152229.3-295964.1</f>
        <v>-143734.79999999999</v>
      </c>
      <c r="C147" s="32">
        <f>139248.5-223096</f>
        <v>-83847.5</v>
      </c>
      <c r="D147" s="32" t="s">
        <v>2</v>
      </c>
      <c r="E147" s="31">
        <f t="shared" si="20"/>
        <v>-227582.3</v>
      </c>
      <c r="F147" s="32">
        <v>0</v>
      </c>
      <c r="G147" s="32">
        <f>52783.1+1160384.5+28225</f>
        <v>1241392.6000000001</v>
      </c>
      <c r="H147" s="32"/>
      <c r="I147" s="32">
        <v>66552.3</v>
      </c>
      <c r="J147" s="32">
        <v>29259.4</v>
      </c>
      <c r="K147" s="32">
        <v>727629.7</v>
      </c>
      <c r="L147" s="33">
        <f t="shared" si="21"/>
        <v>2064834</v>
      </c>
      <c r="M147" s="32">
        <v>478795.5</v>
      </c>
      <c r="N147" s="31">
        <v>82107.899999999994</v>
      </c>
      <c r="O147" s="33">
        <f t="shared" si="22"/>
        <v>1503930.6</v>
      </c>
      <c r="P147" s="38">
        <f>25516+101.6</f>
        <v>25617.599999999999</v>
      </c>
      <c r="Q147" s="33">
        <f>1098721+4652.3+44030.8</f>
        <v>1147404.1000000001</v>
      </c>
      <c r="R147" s="33">
        <v>6686.4</v>
      </c>
      <c r="S147" s="31">
        <f t="shared" si="28"/>
        <v>1179708.1000000001</v>
      </c>
      <c r="T147" s="35">
        <f t="shared" si="24"/>
        <v>2683638.7000000002</v>
      </c>
      <c r="U147" s="31">
        <f t="shared" si="25"/>
        <v>2456056.4000000004</v>
      </c>
    </row>
    <row r="148" spans="1:21" s="37" customFormat="1" ht="18">
      <c r="A148" s="30" t="s">
        <v>67</v>
      </c>
      <c r="B148" s="32">
        <f>139379.6-293793.8</f>
        <v>-154414.19999999998</v>
      </c>
      <c r="C148" s="32">
        <f>134768.5-216587.2</f>
        <v>-81818.700000000012</v>
      </c>
      <c r="D148" s="32" t="s">
        <v>2</v>
      </c>
      <c r="E148" s="31">
        <f t="shared" si="20"/>
        <v>-236232.9</v>
      </c>
      <c r="F148" s="32">
        <v>0</v>
      </c>
      <c r="G148" s="32">
        <f>53363+1194779.6+32675</f>
        <v>1280817.6000000001</v>
      </c>
      <c r="H148" s="32"/>
      <c r="I148" s="32">
        <v>78529.600000000006</v>
      </c>
      <c r="J148" s="32">
        <v>26472.7</v>
      </c>
      <c r="K148" s="32">
        <v>725211.5</v>
      </c>
      <c r="L148" s="33">
        <f t="shared" si="21"/>
        <v>2111031.4000000004</v>
      </c>
      <c r="M148" s="32">
        <v>498832</v>
      </c>
      <c r="N148" s="31">
        <v>93562</v>
      </c>
      <c r="O148" s="33">
        <f t="shared" si="22"/>
        <v>1518637.4000000004</v>
      </c>
      <c r="P148" s="38">
        <f>25102.5+101.6</f>
        <v>25204.1</v>
      </c>
      <c r="Q148" s="33">
        <v>1169942.3999999999</v>
      </c>
      <c r="R148" s="33">
        <v>547.9</v>
      </c>
      <c r="S148" s="31">
        <f t="shared" si="28"/>
        <v>1195694.3999999999</v>
      </c>
      <c r="T148" s="35">
        <f t="shared" si="24"/>
        <v>2714331.8000000003</v>
      </c>
      <c r="U148" s="31">
        <f t="shared" si="25"/>
        <v>2478098.9000000004</v>
      </c>
    </row>
    <row r="149" spans="1:21" s="37" customFormat="1" ht="18">
      <c r="A149" s="30" t="s">
        <v>68</v>
      </c>
      <c r="B149" s="32">
        <f>126892.2-290211.4</f>
        <v>-163319.20000000001</v>
      </c>
      <c r="C149" s="32">
        <f>127575.1-218706.9</f>
        <v>-91131.799999999988</v>
      </c>
      <c r="D149" s="32" t="s">
        <v>2</v>
      </c>
      <c r="E149" s="31">
        <f t="shared" si="20"/>
        <v>-254451</v>
      </c>
      <c r="F149" s="32">
        <v>0</v>
      </c>
      <c r="G149" s="32">
        <f>53183+1221678.4+39075</f>
        <v>1313936.3999999999</v>
      </c>
      <c r="H149" s="32"/>
      <c r="I149" s="32">
        <v>75442.400000000009</v>
      </c>
      <c r="J149" s="32">
        <v>25079.5</v>
      </c>
      <c r="K149" s="32">
        <v>724002.3</v>
      </c>
      <c r="L149" s="33">
        <f t="shared" si="21"/>
        <v>2138460.5999999996</v>
      </c>
      <c r="M149" s="32">
        <v>490631.8</v>
      </c>
      <c r="N149" s="31">
        <v>94982.5</v>
      </c>
      <c r="O149" s="33">
        <f t="shared" si="22"/>
        <v>1552846.2999999996</v>
      </c>
      <c r="P149" s="38">
        <f>25813.2+101.6</f>
        <v>25914.799999999999</v>
      </c>
      <c r="Q149" s="33">
        <v>1198837.8999999999</v>
      </c>
      <c r="R149" s="33">
        <v>496</v>
      </c>
      <c r="S149" s="31">
        <f t="shared" si="28"/>
        <v>1225248.7</v>
      </c>
      <c r="T149" s="35">
        <f t="shared" si="24"/>
        <v>2778094.9999999995</v>
      </c>
      <c r="U149" s="31">
        <f t="shared" si="25"/>
        <v>2523643.9999999995</v>
      </c>
    </row>
    <row r="150" spans="1:21" s="37" customFormat="1" ht="18">
      <c r="A150" s="30" t="s">
        <v>69</v>
      </c>
      <c r="B150" s="32">
        <v>-129390.7</v>
      </c>
      <c r="C150" s="32">
        <v>-76949.600000000006</v>
      </c>
      <c r="D150" s="32" t="s">
        <v>2</v>
      </c>
      <c r="E150" s="31">
        <f t="shared" si="20"/>
        <v>-206340.3</v>
      </c>
      <c r="F150" s="32">
        <v>0</v>
      </c>
      <c r="G150" s="32">
        <f>57683+1228622.8+55165.1</f>
        <v>1341470.9000000001</v>
      </c>
      <c r="H150" s="32"/>
      <c r="I150" s="32">
        <v>73356.899999999994</v>
      </c>
      <c r="J150" s="32">
        <v>23686.2</v>
      </c>
      <c r="K150" s="32">
        <v>722793.2</v>
      </c>
      <c r="L150" s="33">
        <f t="shared" si="21"/>
        <v>2161307.2000000002</v>
      </c>
      <c r="M150" s="32">
        <v>443910.5</v>
      </c>
      <c r="N150" s="31">
        <v>95938.2</v>
      </c>
      <c r="O150" s="33">
        <f t="shared" si="22"/>
        <v>1621458.5000000002</v>
      </c>
      <c r="P150" s="38">
        <f>42076.6+101.6</f>
        <v>42178.2</v>
      </c>
      <c r="Q150" s="33">
        <v>1165927.2000000002</v>
      </c>
      <c r="R150" s="33">
        <v>458.5</v>
      </c>
      <c r="S150" s="31">
        <f t="shared" si="28"/>
        <v>1208563.9000000001</v>
      </c>
      <c r="T150" s="35">
        <f t="shared" si="24"/>
        <v>2830022.4000000004</v>
      </c>
      <c r="U150" s="31">
        <f t="shared" si="25"/>
        <v>2623682.1000000006</v>
      </c>
    </row>
    <row r="151" spans="1:21" s="37" customFormat="1" ht="18">
      <c r="A151" s="30" t="s">
        <v>70</v>
      </c>
      <c r="B151" s="32">
        <v>-173480.90000000002</v>
      </c>
      <c r="C151" s="32">
        <f>137465.3-279253.2</f>
        <v>-141787.90000000002</v>
      </c>
      <c r="D151" s="32" t="s">
        <v>2</v>
      </c>
      <c r="E151" s="31">
        <f t="shared" si="20"/>
        <v>-315268.80000000005</v>
      </c>
      <c r="F151" s="32">
        <v>0</v>
      </c>
      <c r="G151" s="32">
        <f>58183+1259952.3+60781.1</f>
        <v>1378916.4000000001</v>
      </c>
      <c r="H151" s="32"/>
      <c r="I151" s="32">
        <f>18507.3+102288.1</f>
        <v>120795.40000000001</v>
      </c>
      <c r="J151" s="32">
        <v>23686.1</v>
      </c>
      <c r="K151" s="32">
        <v>722793.2</v>
      </c>
      <c r="L151" s="33">
        <f t="shared" si="21"/>
        <v>2246191.1</v>
      </c>
      <c r="M151" s="32">
        <v>447113.3</v>
      </c>
      <c r="N151" s="31">
        <v>97728.6</v>
      </c>
      <c r="O151" s="33">
        <f t="shared" si="22"/>
        <v>1701349.2</v>
      </c>
      <c r="P151" s="38">
        <f>37419.8+101.6</f>
        <v>37521.4</v>
      </c>
      <c r="Q151" s="33">
        <f>1140255.6+4738.9+51103.3</f>
        <v>1196097.8</v>
      </c>
      <c r="R151" s="33">
        <v>370.8</v>
      </c>
      <c r="S151" s="31">
        <f t="shared" si="28"/>
        <v>1233990</v>
      </c>
      <c r="T151" s="35">
        <f t="shared" si="24"/>
        <v>2935339.2</v>
      </c>
      <c r="U151" s="31">
        <f t="shared" si="25"/>
        <v>2620070.4000000004</v>
      </c>
    </row>
    <row r="152" spans="1:21" s="37" customFormat="1" ht="18">
      <c r="A152" s="30" t="s">
        <v>72</v>
      </c>
      <c r="B152" s="32">
        <f>231895.4-363145.9</f>
        <v>-131250.50000000003</v>
      </c>
      <c r="C152" s="32">
        <f>154904-268234.5</f>
        <v>-113330.5</v>
      </c>
      <c r="D152" s="32" t="s">
        <v>2</v>
      </c>
      <c r="E152" s="31">
        <f t="shared" si="20"/>
        <v>-244581.00000000003</v>
      </c>
      <c r="F152" s="32">
        <v>0</v>
      </c>
      <c r="G152" s="32">
        <f>57464.1+1268439.4+61016.5</f>
        <v>1386920</v>
      </c>
      <c r="H152" s="32"/>
      <c r="I152" s="32">
        <f>18507.3+102880.8</f>
        <v>121388.1</v>
      </c>
      <c r="J152" s="32">
        <v>22292.799999999999</v>
      </c>
      <c r="K152" s="32">
        <v>721584.1</v>
      </c>
      <c r="L152" s="33">
        <f t="shared" si="21"/>
        <v>2252185</v>
      </c>
      <c r="M152" s="32">
        <v>456925.6</v>
      </c>
      <c r="N152" s="31">
        <v>96011.1</v>
      </c>
      <c r="O152" s="33">
        <f t="shared" si="22"/>
        <v>1699248.2999999998</v>
      </c>
      <c r="P152" s="38">
        <f>34652.5+101.6</f>
        <v>34754.1</v>
      </c>
      <c r="Q152" s="33">
        <f>1130849.3+4802.7+49335.8</f>
        <v>1184987.8</v>
      </c>
      <c r="R152" s="33">
        <v>327</v>
      </c>
      <c r="S152" s="31">
        <f t="shared" si="28"/>
        <v>1220068.9000000001</v>
      </c>
      <c r="T152" s="35">
        <f t="shared" si="24"/>
        <v>2919317.2</v>
      </c>
      <c r="U152" s="31">
        <f t="shared" si="25"/>
        <v>2674736.2000000002</v>
      </c>
    </row>
    <row r="153" spans="1:21" s="37" customFormat="1" ht="18">
      <c r="A153" s="30" t="s">
        <v>73</v>
      </c>
      <c r="B153" s="32">
        <f>194289.3-361308.8</f>
        <v>-167019.5</v>
      </c>
      <c r="C153" s="32">
        <f>143352.6-261170.6</f>
        <v>-117818</v>
      </c>
      <c r="D153" s="32" t="s">
        <v>2</v>
      </c>
      <c r="E153" s="31">
        <f t="shared" si="20"/>
        <v>-284837.5</v>
      </c>
      <c r="F153" s="32">
        <v>0</v>
      </c>
      <c r="G153" s="32">
        <f>51183+1270664.1+59841.5</f>
        <v>1381688.6</v>
      </c>
      <c r="H153" s="32"/>
      <c r="I153" s="32">
        <f>18507.3+103560.4</f>
        <v>122067.7</v>
      </c>
      <c r="J153" s="32">
        <v>19506.2</v>
      </c>
      <c r="K153" s="32">
        <v>719165.8</v>
      </c>
      <c r="L153" s="33">
        <f t="shared" si="21"/>
        <v>2242428.2999999998</v>
      </c>
      <c r="M153" s="32">
        <v>503862</v>
      </c>
      <c r="N153" s="31">
        <v>77027.199999999997</v>
      </c>
      <c r="O153" s="33">
        <f t="shared" si="22"/>
        <v>1661539.0999999999</v>
      </c>
      <c r="P153" s="38">
        <f>32138.3+101.6</f>
        <v>32239.899999999998</v>
      </c>
      <c r="Q153" s="33">
        <f>1159740.9+4846.3+47836</f>
        <v>1212423.2</v>
      </c>
      <c r="R153" s="33">
        <v>342.2</v>
      </c>
      <c r="S153" s="31">
        <f t="shared" si="28"/>
        <v>1245005.2999999998</v>
      </c>
      <c r="T153" s="35">
        <f t="shared" si="24"/>
        <v>2906544.3999999994</v>
      </c>
      <c r="U153" s="31">
        <f t="shared" si="25"/>
        <v>2621706.8999999994</v>
      </c>
    </row>
    <row r="154" spans="1:21" s="37" customFormat="1" ht="18">
      <c r="A154" s="30" t="s">
        <v>74</v>
      </c>
      <c r="B154" s="32">
        <f>182570.8-361783</f>
        <v>-179212.2</v>
      </c>
      <c r="C154" s="32">
        <f>139173-266161.9</f>
        <v>-126988.90000000002</v>
      </c>
      <c r="D154" s="32" t="s">
        <v>2</v>
      </c>
      <c r="E154" s="31">
        <f t="shared" si="20"/>
        <v>-306201.10000000003</v>
      </c>
      <c r="F154" s="32">
        <v>0</v>
      </c>
      <c r="G154" s="32">
        <f>50533.1+1285753.9+49093.9</f>
        <v>1385380.9</v>
      </c>
      <c r="H154" s="32"/>
      <c r="I154" s="32">
        <f>18507.3+104228.7</f>
        <v>122736</v>
      </c>
      <c r="J154" s="32">
        <v>18112.900000000001</v>
      </c>
      <c r="K154" s="32">
        <v>717956.7</v>
      </c>
      <c r="L154" s="33">
        <f t="shared" si="21"/>
        <v>2244186.5</v>
      </c>
      <c r="M154" s="32">
        <v>464273.2</v>
      </c>
      <c r="N154" s="31">
        <v>73644.3</v>
      </c>
      <c r="O154" s="33">
        <f t="shared" si="22"/>
        <v>1706269</v>
      </c>
      <c r="P154" s="38">
        <f>33552.3+101.6</f>
        <v>33653.9</v>
      </c>
      <c r="Q154" s="33">
        <f>1165810.8+4873.8+44060.8</f>
        <v>1214745.4000000001</v>
      </c>
      <c r="R154" s="33">
        <v>357.29999999999995</v>
      </c>
      <c r="S154" s="31">
        <f t="shared" si="28"/>
        <v>1248756.6000000001</v>
      </c>
      <c r="T154" s="35">
        <f t="shared" si="24"/>
        <v>2955025.6</v>
      </c>
      <c r="U154" s="31">
        <f t="shared" si="25"/>
        <v>2648824.5</v>
      </c>
    </row>
    <row r="155" spans="1:21" s="37" customFormat="1" ht="18">
      <c r="A155" s="30" t="s">
        <v>75</v>
      </c>
      <c r="B155" s="32">
        <f>172039.8-357937.1</f>
        <v>-185897.3</v>
      </c>
      <c r="C155" s="32">
        <f>130855.2-285542.3</f>
        <v>-154687.09999999998</v>
      </c>
      <c r="D155" s="32" t="s">
        <v>2</v>
      </c>
      <c r="E155" s="31">
        <f t="shared" si="20"/>
        <v>-340584.39999999997</v>
      </c>
      <c r="F155" s="32">
        <v>0</v>
      </c>
      <c r="G155" s="32">
        <f>64033.1+1297860.1+49605.6</f>
        <v>1411498.8000000003</v>
      </c>
      <c r="H155" s="32"/>
      <c r="I155" s="32">
        <f>18507.3+97709.7+1852.2</f>
        <v>118069.2</v>
      </c>
      <c r="J155" s="32">
        <v>18112.900000000001</v>
      </c>
      <c r="K155" s="32">
        <v>717956.7</v>
      </c>
      <c r="L155" s="33">
        <f t="shared" si="21"/>
        <v>2265637.6</v>
      </c>
      <c r="M155" s="32">
        <v>499649.2</v>
      </c>
      <c r="N155" s="31">
        <v>75206.899999999994</v>
      </c>
      <c r="O155" s="33">
        <f t="shared" si="22"/>
        <v>1690781.5000000002</v>
      </c>
      <c r="P155" s="38">
        <f>30459.2+101.6</f>
        <v>30560.799999999999</v>
      </c>
      <c r="Q155" s="33">
        <f>1229771.4+4901.3+47824.9</f>
        <v>1282497.5999999999</v>
      </c>
      <c r="R155" s="33">
        <v>552.5</v>
      </c>
      <c r="S155" s="31">
        <f t="shared" si="28"/>
        <v>1313610.8999999999</v>
      </c>
      <c r="T155" s="35">
        <f t="shared" si="24"/>
        <v>3004392.4000000004</v>
      </c>
      <c r="U155" s="31">
        <f t="shared" si="25"/>
        <v>2663808.0000000005</v>
      </c>
    </row>
    <row r="156" spans="1:21" s="37" customFormat="1" ht="18">
      <c r="A156" s="30" t="s">
        <v>76</v>
      </c>
      <c r="B156" s="32">
        <f>172739-357357.6</f>
        <v>-184618.59999999998</v>
      </c>
      <c r="C156" s="32">
        <f>128564.4-277077.4</f>
        <v>-148513.00000000003</v>
      </c>
      <c r="D156" s="32" t="s">
        <v>2</v>
      </c>
      <c r="E156" s="31">
        <f t="shared" si="20"/>
        <v>-333131.59999999998</v>
      </c>
      <c r="F156" s="32">
        <v>0</v>
      </c>
      <c r="G156" s="32">
        <f>59283+1350702.5+59204.6</f>
        <v>1469190.1</v>
      </c>
      <c r="H156" s="32"/>
      <c r="I156" s="32">
        <f>18507.3+98487+5357.5</f>
        <v>122351.8</v>
      </c>
      <c r="J156" s="32">
        <v>15326.3</v>
      </c>
      <c r="K156" s="32">
        <v>715538.4</v>
      </c>
      <c r="L156" s="33">
        <f t="shared" si="21"/>
        <v>2322406.6</v>
      </c>
      <c r="M156" s="32">
        <v>441278.2</v>
      </c>
      <c r="N156" s="31">
        <v>86594.1</v>
      </c>
      <c r="O156" s="33">
        <f t="shared" si="22"/>
        <v>1794534.3</v>
      </c>
      <c r="P156" s="38">
        <f>29576.4+101.6</f>
        <v>29678</v>
      </c>
      <c r="Q156" s="33">
        <f>1231019.2+4928.8+46930.1</f>
        <v>1282878.1000000001</v>
      </c>
      <c r="R156" s="33">
        <v>328.2</v>
      </c>
      <c r="S156" s="31">
        <f t="shared" si="28"/>
        <v>1312884.3</v>
      </c>
      <c r="T156" s="35">
        <f t="shared" si="24"/>
        <v>3107418.6</v>
      </c>
      <c r="U156" s="31">
        <f t="shared" si="25"/>
        <v>2774287</v>
      </c>
    </row>
    <row r="157" spans="1:21" s="37" customFormat="1" ht="18">
      <c r="A157" s="30" t="s">
        <v>77</v>
      </c>
      <c r="B157" s="32">
        <f>201052.3-365768.2</f>
        <v>-164715.90000000002</v>
      </c>
      <c r="C157" s="32">
        <f>131329.1-279283.7</f>
        <v>-147954.6</v>
      </c>
      <c r="D157" s="32" t="s">
        <v>2</v>
      </c>
      <c r="E157" s="31">
        <f t="shared" si="20"/>
        <v>-312670.5</v>
      </c>
      <c r="F157" s="32">
        <v>0</v>
      </c>
      <c r="G157" s="32">
        <f>53583+1382662.1+63639.5</f>
        <v>1499884.6</v>
      </c>
      <c r="H157" s="32"/>
      <c r="I157" s="32">
        <f>18507.3+97665+9362.2</f>
        <v>125534.5</v>
      </c>
      <c r="J157" s="32">
        <v>13933</v>
      </c>
      <c r="K157" s="32">
        <v>714329.3</v>
      </c>
      <c r="L157" s="33">
        <f t="shared" si="21"/>
        <v>2353681.4000000004</v>
      </c>
      <c r="M157" s="32">
        <v>490256.73333333299</v>
      </c>
      <c r="N157" s="31">
        <v>87632.4</v>
      </c>
      <c r="O157" s="33">
        <f t="shared" si="22"/>
        <v>1775792.2666666675</v>
      </c>
      <c r="P157" s="38">
        <f>27282+101.6</f>
        <v>27383.599999999999</v>
      </c>
      <c r="Q157" s="33">
        <f>1286576.7+16134.5+50854</f>
        <v>1353565.2</v>
      </c>
      <c r="R157" s="33">
        <v>226.5</v>
      </c>
      <c r="S157" s="31">
        <f t="shared" si="28"/>
        <v>1381175.3</v>
      </c>
      <c r="T157" s="35">
        <f t="shared" si="24"/>
        <v>3156967.5666666673</v>
      </c>
      <c r="U157" s="31">
        <f t="shared" si="25"/>
        <v>2844297.0666666673</v>
      </c>
    </row>
    <row r="158" spans="1:21" s="37" customFormat="1" ht="18">
      <c r="A158" s="30" t="s">
        <v>78</v>
      </c>
      <c r="B158" s="32">
        <f>214065.1-367134.1</f>
        <v>-153068.99999999997</v>
      </c>
      <c r="C158" s="32">
        <f>142771.3-263229.3</f>
        <v>-120458</v>
      </c>
      <c r="D158" s="32" t="s">
        <v>2</v>
      </c>
      <c r="E158" s="31">
        <f t="shared" si="20"/>
        <v>-273527</v>
      </c>
      <c r="F158" s="32">
        <v>0</v>
      </c>
      <c r="G158" s="32">
        <f>51333+1407573.8+62122.3</f>
        <v>1521029.1</v>
      </c>
      <c r="H158" s="32"/>
      <c r="I158" s="32">
        <f>18507.3+98547.5+23833.1</f>
        <v>140887.9</v>
      </c>
      <c r="J158" s="32">
        <v>13933</v>
      </c>
      <c r="K158" s="32">
        <v>713689.4</v>
      </c>
      <c r="L158" s="33">
        <f t="shared" si="21"/>
        <v>2389539.4</v>
      </c>
      <c r="M158" s="32">
        <v>537889.46666666702</v>
      </c>
      <c r="N158" s="31">
        <v>88159.1</v>
      </c>
      <c r="O158" s="33">
        <f t="shared" si="22"/>
        <v>1763490.8333333328</v>
      </c>
      <c r="P158" s="38">
        <f>46060.5+101.6</f>
        <v>46162.1</v>
      </c>
      <c r="Q158" s="33">
        <f>1303855+16840.3+49105.9</f>
        <v>1369801.2</v>
      </c>
      <c r="R158" s="33">
        <v>305.60000000000002</v>
      </c>
      <c r="S158" s="31">
        <f t="shared" si="28"/>
        <v>1416268.9000000001</v>
      </c>
      <c r="T158" s="35">
        <f t="shared" si="24"/>
        <v>3179759.7333333329</v>
      </c>
      <c r="U158" s="31">
        <f t="shared" si="25"/>
        <v>2906232.7333333329</v>
      </c>
    </row>
    <row r="159" spans="1:21" s="37" customFormat="1" ht="18">
      <c r="A159" s="30" t="s">
        <v>79</v>
      </c>
      <c r="B159" s="32">
        <f>201366-367286.4</f>
        <v>-165920.40000000002</v>
      </c>
      <c r="C159" s="32">
        <f>161360.7-289503.6</f>
        <v>-128142.89999999997</v>
      </c>
      <c r="D159" s="32" t="s">
        <v>2</v>
      </c>
      <c r="E159" s="31">
        <f t="shared" si="20"/>
        <v>-294063.3</v>
      </c>
      <c r="F159" s="32">
        <v>0</v>
      </c>
      <c r="G159" s="32">
        <f>55534+1425779.5+58564.4</f>
        <v>1539877.9</v>
      </c>
      <c r="H159" s="32"/>
      <c r="I159" s="32">
        <f>18507.3+25822.8+124981.5+150000</f>
        <v>319311.59999999998</v>
      </c>
      <c r="J159" s="32">
        <v>12539.7</v>
      </c>
      <c r="K159" s="32">
        <v>713120.2</v>
      </c>
      <c r="L159" s="33">
        <f t="shared" si="21"/>
        <v>2584849.4</v>
      </c>
      <c r="M159" s="32">
        <v>470251</v>
      </c>
      <c r="N159" s="31">
        <v>76753.3</v>
      </c>
      <c r="O159" s="33">
        <f t="shared" si="22"/>
        <v>2037845.0999999999</v>
      </c>
      <c r="P159" s="38">
        <f>30626.8+101.6</f>
        <v>30728.399999999998</v>
      </c>
      <c r="Q159" s="33">
        <f>1276436.4+20096+63444.5</f>
        <v>1359976.9</v>
      </c>
      <c r="R159" s="33">
        <v>311</v>
      </c>
      <c r="S159" s="31">
        <f t="shared" si="28"/>
        <v>1391016.2999999998</v>
      </c>
      <c r="T159" s="35">
        <f t="shared" si="24"/>
        <v>3428861.3999999994</v>
      </c>
      <c r="U159" s="31">
        <f t="shared" si="25"/>
        <v>3134798.0999999996</v>
      </c>
    </row>
    <row r="160" spans="1:21" s="37" customFormat="1" ht="18">
      <c r="A160" s="30" t="s">
        <v>80</v>
      </c>
      <c r="B160" s="32">
        <f>190893.3-365883.4</f>
        <v>-174990.10000000003</v>
      </c>
      <c r="C160" s="32">
        <f>173146-303443</f>
        <v>-130297</v>
      </c>
      <c r="D160" s="32" t="s">
        <v>2</v>
      </c>
      <c r="E160" s="31">
        <f t="shared" si="20"/>
        <v>-305287.10000000003</v>
      </c>
      <c r="F160" s="32">
        <v>0</v>
      </c>
      <c r="G160" s="32">
        <f>61094+1444637.5+57062.4</f>
        <v>1562793.9</v>
      </c>
      <c r="H160" s="32"/>
      <c r="I160" s="32">
        <f>18507.3+26917.5+125477.3+150000+2000</f>
        <v>322902.09999999998</v>
      </c>
      <c r="J160" s="32">
        <v>11146.4</v>
      </c>
      <c r="K160" s="32">
        <v>711911</v>
      </c>
      <c r="L160" s="33">
        <f t="shared" si="21"/>
        <v>2608753.4</v>
      </c>
      <c r="M160" s="32">
        <v>489095.1</v>
      </c>
      <c r="N160" s="31">
        <v>89546.6</v>
      </c>
      <c r="O160" s="33">
        <f t="shared" si="22"/>
        <v>2030111.6999999997</v>
      </c>
      <c r="P160" s="38">
        <f>27890.7+101.6</f>
        <v>27992.3</v>
      </c>
      <c r="Q160" s="33">
        <f>1280836+20096+60153.1</f>
        <v>1361085.1</v>
      </c>
      <c r="R160" s="33">
        <v>1236.8000000000002</v>
      </c>
      <c r="S160" s="31">
        <f t="shared" si="28"/>
        <v>1390314.2000000002</v>
      </c>
      <c r="T160" s="35">
        <f t="shared" si="24"/>
        <v>3420425.9</v>
      </c>
      <c r="U160" s="31">
        <f t="shared" si="25"/>
        <v>3115138.8</v>
      </c>
    </row>
    <row r="161" spans="1:23" s="37" customFormat="1" ht="18">
      <c r="A161" s="30" t="s">
        <v>83</v>
      </c>
      <c r="B161" s="32">
        <f>202405.5-368483.9</f>
        <v>-166078.40000000002</v>
      </c>
      <c r="C161" s="32">
        <f>180599.1-322797.5</f>
        <v>-142198.39999999999</v>
      </c>
      <c r="D161" s="32" t="s">
        <v>2</v>
      </c>
      <c r="E161" s="31">
        <f t="shared" si="20"/>
        <v>-308276.80000000005</v>
      </c>
      <c r="F161" s="32">
        <v>0</v>
      </c>
      <c r="G161" s="32">
        <f>72424+1447026.3+57109.4</f>
        <v>1576559.7</v>
      </c>
      <c r="H161" s="32"/>
      <c r="I161" s="32">
        <f>18507.3+26994.4+119336.2+150000+2000</f>
        <v>316837.90000000002</v>
      </c>
      <c r="J161" s="32">
        <v>9753.1</v>
      </c>
      <c r="K161" s="32">
        <v>710701.89999999991</v>
      </c>
      <c r="L161" s="33">
        <f t="shared" si="21"/>
        <v>2613852.6</v>
      </c>
      <c r="M161" s="32">
        <v>500847.7</v>
      </c>
      <c r="N161" s="31">
        <v>78500.7</v>
      </c>
      <c r="O161" s="33">
        <f t="shared" si="22"/>
        <v>2034504.2</v>
      </c>
      <c r="P161" s="38">
        <f>23229.4+101.6</f>
        <v>23331</v>
      </c>
      <c r="Q161" s="33">
        <f>1305845.3+27212+55355.7</f>
        <v>1388413</v>
      </c>
      <c r="R161" s="33">
        <v>1196.1000000000001</v>
      </c>
      <c r="S161" s="31">
        <f t="shared" si="28"/>
        <v>1412940.1</v>
      </c>
      <c r="T161" s="35">
        <f t="shared" si="24"/>
        <v>3447444.3</v>
      </c>
      <c r="U161" s="31">
        <f t="shared" si="25"/>
        <v>3139167.5</v>
      </c>
    </row>
    <row r="162" spans="1:23" s="37" customFormat="1" ht="18">
      <c r="A162" s="30" t="s">
        <v>84</v>
      </c>
      <c r="B162" s="32">
        <f>250872.7-371450.7</f>
        <v>-120578</v>
      </c>
      <c r="C162" s="32">
        <f>196181.1-306357.4</f>
        <v>-110176.30000000002</v>
      </c>
      <c r="D162" s="32" t="s">
        <v>2</v>
      </c>
      <c r="E162" s="31">
        <f t="shared" si="20"/>
        <v>-230754.30000000002</v>
      </c>
      <c r="F162" s="32">
        <v>0</v>
      </c>
      <c r="G162" s="32">
        <f>90484+1457459.4+67289</f>
        <v>1615232.4</v>
      </c>
      <c r="H162" s="32"/>
      <c r="I162" s="32">
        <f>18507.3+27463+120782.7+150000+2000</f>
        <v>318753</v>
      </c>
      <c r="J162" s="32">
        <v>6921.2</v>
      </c>
      <c r="K162" s="32">
        <v>708283.6</v>
      </c>
      <c r="L162" s="33">
        <f t="shared" si="21"/>
        <v>2649190.1999999997</v>
      </c>
      <c r="M162" s="32">
        <v>521180.9</v>
      </c>
      <c r="N162" s="31">
        <v>72918.899999999994</v>
      </c>
      <c r="O162" s="33">
        <f t="shared" si="22"/>
        <v>2055090.4</v>
      </c>
      <c r="P162" s="38">
        <f>22343.7+101.6</f>
        <v>22445.3</v>
      </c>
      <c r="Q162" s="33">
        <f>1313193.9+29327.2+59346.6</f>
        <v>1401867.7</v>
      </c>
      <c r="R162" s="33">
        <v>1185.1999999999998</v>
      </c>
      <c r="S162" s="31">
        <f t="shared" si="28"/>
        <v>1425498.2</v>
      </c>
      <c r="T162" s="35">
        <f t="shared" si="24"/>
        <v>3480588.5999999996</v>
      </c>
      <c r="U162" s="31">
        <f t="shared" si="25"/>
        <v>3249834.3</v>
      </c>
    </row>
    <row r="163" spans="1:23" s="41" customFormat="1" ht="19.5">
      <c r="A163" s="47" t="s">
        <v>45</v>
      </c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9"/>
      <c r="W163" s="42"/>
    </row>
    <row r="164" spans="1:23" s="37" customFormat="1" ht="15.75">
      <c r="A164" s="50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2"/>
    </row>
  </sheetData>
  <mergeCells count="10">
    <mergeCell ref="A163:U164"/>
    <mergeCell ref="T5:T6"/>
    <mergeCell ref="U4:U6"/>
    <mergeCell ref="B4:E5"/>
    <mergeCell ref="A4:A6"/>
    <mergeCell ref="F2:H2"/>
    <mergeCell ref="F5:O5"/>
    <mergeCell ref="P5:S5"/>
    <mergeCell ref="F4:O4"/>
    <mergeCell ref="P4:T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XFB60"/>
  <sheetViews>
    <sheetView workbookViewId="0">
      <pane xSplit="1" ySplit="6" topLeftCell="S49" activePane="bottomRight" state="frozen"/>
      <selection pane="topRight" activeCell="B1" sqref="B1"/>
      <selection pane="bottomLeft" activeCell="A7" sqref="A7"/>
      <selection pane="bottomRight" activeCell="T55" sqref="T55"/>
    </sheetView>
  </sheetViews>
  <sheetFormatPr baseColWidth="10" defaultColWidth="11.5546875" defaultRowHeight="18.75"/>
  <cols>
    <col min="1" max="1" width="27.44140625" style="1" customWidth="1"/>
    <col min="2" max="2" width="11.77734375" style="1" customWidth="1"/>
    <col min="3" max="3" width="16.33203125" style="1" customWidth="1"/>
    <col min="4" max="4" width="17.5546875" style="1" customWidth="1"/>
    <col min="5" max="5" width="23.6640625" style="1" bestFit="1" customWidth="1"/>
    <col min="6" max="6" width="21.5546875" style="1" bestFit="1" customWidth="1"/>
    <col min="7" max="8" width="11.6640625" style="1" bestFit="1" customWidth="1"/>
    <col min="9" max="9" width="14.33203125" style="1" bestFit="1" customWidth="1"/>
    <col min="10" max="10" width="11.6640625" style="1" bestFit="1" customWidth="1"/>
    <col min="11" max="11" width="17.33203125" style="1" bestFit="1" customWidth="1"/>
    <col min="12" max="12" width="31.109375" style="1" bestFit="1" customWidth="1"/>
    <col min="13" max="13" width="29.77734375" style="1" bestFit="1" customWidth="1"/>
    <col min="14" max="14" width="12" style="1" customWidth="1"/>
    <col min="15" max="15" width="29.88671875" style="1" customWidth="1"/>
    <col min="16" max="16" width="20.109375" style="1" bestFit="1" customWidth="1"/>
    <col min="17" max="17" width="19.88671875" style="1" customWidth="1"/>
    <col min="18" max="18" width="9.6640625" style="1" customWidth="1"/>
    <col min="19" max="19" width="10" style="1" customWidth="1"/>
    <col min="20" max="20" width="10.77734375" style="1" customWidth="1"/>
    <col min="21" max="16384" width="11.5546875" style="1"/>
  </cols>
  <sheetData>
    <row r="1" spans="1:16382">
      <c r="A1" s="15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1" t="s">
        <v>62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2" customFormat="1">
      <c r="E2" s="43" t="s">
        <v>55</v>
      </c>
      <c r="F2" s="43"/>
      <c r="G2" s="43"/>
      <c r="T2" s="21"/>
      <c r="U2" s="21"/>
    </row>
    <row r="3" spans="1:16382" s="2" customFormat="1" ht="21" customHeight="1">
      <c r="T3" s="21"/>
      <c r="U3" s="21"/>
    </row>
    <row r="4" spans="1:16382" s="24" customFormat="1" ht="15.75" customHeight="1">
      <c r="A4" s="64" t="s">
        <v>46</v>
      </c>
      <c r="B4" s="58" t="s">
        <v>3</v>
      </c>
      <c r="C4" s="59"/>
      <c r="D4" s="59"/>
      <c r="E4" s="60"/>
      <c r="F4" s="44" t="s">
        <v>4</v>
      </c>
      <c r="G4" s="45"/>
      <c r="H4" s="45"/>
      <c r="I4" s="45"/>
      <c r="J4" s="45"/>
      <c r="K4" s="45"/>
      <c r="L4" s="45"/>
      <c r="M4" s="45"/>
      <c r="N4" s="45"/>
      <c r="O4" s="46"/>
      <c r="P4" s="44"/>
      <c r="Q4" s="45"/>
      <c r="R4" s="45"/>
      <c r="S4" s="45"/>
      <c r="T4" s="45"/>
      <c r="U4" s="55" t="s">
        <v>21</v>
      </c>
      <c r="V4" s="23"/>
    </row>
    <row r="5" spans="1:16382" s="24" customFormat="1" ht="18">
      <c r="A5" s="65"/>
      <c r="B5" s="61"/>
      <c r="C5" s="62"/>
      <c r="D5" s="62"/>
      <c r="E5" s="63"/>
      <c r="F5" s="44" t="s">
        <v>22</v>
      </c>
      <c r="G5" s="45"/>
      <c r="H5" s="45"/>
      <c r="I5" s="45"/>
      <c r="J5" s="45"/>
      <c r="K5" s="45"/>
      <c r="L5" s="45"/>
      <c r="M5" s="45"/>
      <c r="N5" s="45"/>
      <c r="O5" s="46"/>
      <c r="P5" s="44" t="s">
        <v>7</v>
      </c>
      <c r="Q5" s="45"/>
      <c r="R5" s="45"/>
      <c r="S5" s="45"/>
      <c r="T5" s="53" t="s">
        <v>0</v>
      </c>
      <c r="U5" s="56"/>
      <c r="V5" s="25"/>
    </row>
    <row r="6" spans="1:16382" s="24" customFormat="1" ht="126">
      <c r="A6" s="66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4"/>
      <c r="U6" s="57"/>
      <c r="V6" s="26"/>
    </row>
    <row r="7" spans="1:16382" s="37" customFormat="1" ht="15.75">
      <c r="A7" s="30">
        <v>39508</v>
      </c>
      <c r="B7" s="31">
        <v>60403.499999999942</v>
      </c>
      <c r="C7" s="31">
        <v>88180.9</v>
      </c>
      <c r="D7" s="31"/>
      <c r="E7" s="31">
        <f t="shared" ref="E7:E27" si="0">SUM(B7:D7)</f>
        <v>148584.39999999994</v>
      </c>
      <c r="F7" s="31">
        <v>173616.9</v>
      </c>
      <c r="G7" s="31">
        <v>45326.400000000001</v>
      </c>
      <c r="H7" s="31" t="s">
        <v>2</v>
      </c>
      <c r="I7" s="31">
        <v>6220.2999999999993</v>
      </c>
      <c r="J7" s="32" t="s">
        <v>2</v>
      </c>
      <c r="K7" s="32" t="s">
        <v>2</v>
      </c>
      <c r="L7" s="33">
        <f t="shared" ref="L7:L27" si="1">SUM(F7:K7)</f>
        <v>225163.59999999998</v>
      </c>
      <c r="M7" s="34">
        <v>80768</v>
      </c>
      <c r="N7" s="31">
        <v>11101.600000000002</v>
      </c>
      <c r="O7" s="33">
        <f t="shared" ref="O7:O27" si="2">L7-M7-N7</f>
        <v>133293.99999999997</v>
      </c>
      <c r="P7" s="31">
        <v>9802.6999999999989</v>
      </c>
      <c r="Q7" s="31">
        <v>220978.30000000005</v>
      </c>
      <c r="R7" s="33">
        <v>105.1</v>
      </c>
      <c r="S7" s="31">
        <f t="shared" ref="S7:S27" si="3">SUM(P7:R7)</f>
        <v>230886.10000000006</v>
      </c>
      <c r="T7" s="35">
        <f t="shared" ref="T7:T27" si="4">S7+O7</f>
        <v>364180.10000000003</v>
      </c>
      <c r="U7" s="31">
        <f t="shared" ref="U7:U27" si="5">T7+E7</f>
        <v>512764.5</v>
      </c>
      <c r="V7" s="36"/>
    </row>
    <row r="8" spans="1:16382" s="37" customFormat="1" ht="15.75">
      <c r="A8" s="30">
        <v>39600</v>
      </c>
      <c r="B8" s="31">
        <v>56309.5</v>
      </c>
      <c r="C8" s="31">
        <v>82636.399999999994</v>
      </c>
      <c r="D8" s="31"/>
      <c r="E8" s="31">
        <f t="shared" si="0"/>
        <v>138945.9</v>
      </c>
      <c r="F8" s="31">
        <v>185113.8</v>
      </c>
      <c r="G8" s="31">
        <v>41022.200000000004</v>
      </c>
      <c r="H8" s="31" t="s">
        <v>2</v>
      </c>
      <c r="I8" s="31">
        <v>8052.4</v>
      </c>
      <c r="J8" s="32" t="s">
        <v>2</v>
      </c>
      <c r="K8" s="32" t="s">
        <v>2</v>
      </c>
      <c r="L8" s="33">
        <f t="shared" si="1"/>
        <v>234188.4</v>
      </c>
      <c r="M8" s="34">
        <v>82103</v>
      </c>
      <c r="N8" s="31">
        <v>10096.199999999999</v>
      </c>
      <c r="O8" s="33">
        <f t="shared" si="2"/>
        <v>141989.19999999998</v>
      </c>
      <c r="P8" s="31">
        <v>12850.8</v>
      </c>
      <c r="Q8" s="31">
        <v>237857.6</v>
      </c>
      <c r="R8" s="33">
        <v>101.8</v>
      </c>
      <c r="S8" s="31">
        <f t="shared" si="3"/>
        <v>250810.19999999998</v>
      </c>
      <c r="T8" s="35">
        <f t="shared" si="4"/>
        <v>392799.39999999997</v>
      </c>
      <c r="U8" s="31">
        <f t="shared" si="5"/>
        <v>531745.29999999993</v>
      </c>
      <c r="V8" s="36"/>
    </row>
    <row r="9" spans="1:16382" s="37" customFormat="1" ht="15.75">
      <c r="A9" s="30">
        <v>39692</v>
      </c>
      <c r="B9" s="31">
        <v>75833.299999999959</v>
      </c>
      <c r="C9" s="31">
        <v>106593.50000000003</v>
      </c>
      <c r="D9" s="31"/>
      <c r="E9" s="31">
        <f t="shared" si="0"/>
        <v>182426.8</v>
      </c>
      <c r="F9" s="31">
        <v>167686.39999999999</v>
      </c>
      <c r="G9" s="31">
        <v>44061</v>
      </c>
      <c r="H9" s="31" t="s">
        <v>2</v>
      </c>
      <c r="I9" s="31">
        <v>7787.3</v>
      </c>
      <c r="J9" s="32" t="s">
        <v>2</v>
      </c>
      <c r="K9" s="32" t="s">
        <v>2</v>
      </c>
      <c r="L9" s="33">
        <f t="shared" si="1"/>
        <v>219534.69999999998</v>
      </c>
      <c r="M9" s="34">
        <v>100053.9</v>
      </c>
      <c r="N9" s="31">
        <v>9456.2000000000007</v>
      </c>
      <c r="O9" s="33">
        <f t="shared" si="2"/>
        <v>110024.59999999999</v>
      </c>
      <c r="P9" s="31">
        <v>31552.799999999999</v>
      </c>
      <c r="Q9" s="31">
        <v>254099.09999999998</v>
      </c>
      <c r="R9" s="33">
        <v>93</v>
      </c>
      <c r="S9" s="31">
        <f t="shared" si="3"/>
        <v>285744.89999999997</v>
      </c>
      <c r="T9" s="35">
        <f t="shared" si="4"/>
        <v>395769.49999999994</v>
      </c>
      <c r="U9" s="31">
        <f t="shared" si="5"/>
        <v>578196.29999999993</v>
      </c>
      <c r="V9" s="36"/>
    </row>
    <row r="10" spans="1:16382" s="37" customFormat="1" ht="15.75">
      <c r="A10" s="30">
        <v>39783</v>
      </c>
      <c r="B10" s="31">
        <v>159092.20000000007</v>
      </c>
      <c r="C10" s="31">
        <v>95759.5</v>
      </c>
      <c r="D10" s="31"/>
      <c r="E10" s="31">
        <f t="shared" si="0"/>
        <v>254851.70000000007</v>
      </c>
      <c r="F10" s="31">
        <v>170798.9</v>
      </c>
      <c r="G10" s="31">
        <v>58561</v>
      </c>
      <c r="H10" s="31" t="s">
        <v>2</v>
      </c>
      <c r="I10" s="31">
        <v>9544.5</v>
      </c>
      <c r="J10" s="32" t="s">
        <v>2</v>
      </c>
      <c r="K10" s="32" t="s">
        <v>2</v>
      </c>
      <c r="L10" s="33">
        <f t="shared" si="1"/>
        <v>238904.4</v>
      </c>
      <c r="M10" s="34">
        <v>125831.59999999999</v>
      </c>
      <c r="N10" s="31">
        <v>11736.2</v>
      </c>
      <c r="O10" s="33">
        <f t="shared" si="2"/>
        <v>101336.6</v>
      </c>
      <c r="P10" s="31">
        <v>21927.199999999997</v>
      </c>
      <c r="Q10" s="31">
        <v>261749.50000000003</v>
      </c>
      <c r="R10" s="33">
        <v>120.8</v>
      </c>
      <c r="S10" s="31">
        <f t="shared" si="3"/>
        <v>283797.5</v>
      </c>
      <c r="T10" s="35">
        <f t="shared" si="4"/>
        <v>385134.1</v>
      </c>
      <c r="U10" s="31">
        <f t="shared" si="5"/>
        <v>639985.80000000005</v>
      </c>
      <c r="V10" s="36"/>
    </row>
    <row r="11" spans="1:16382" s="37" customFormat="1" ht="15.75">
      <c r="A11" s="30">
        <v>39873</v>
      </c>
      <c r="B11" s="31">
        <v>105784.50000000003</v>
      </c>
      <c r="C11" s="31">
        <v>92328.9</v>
      </c>
      <c r="D11" s="31"/>
      <c r="E11" s="31">
        <f t="shared" si="0"/>
        <v>198113.40000000002</v>
      </c>
      <c r="F11" s="31">
        <v>157525.1</v>
      </c>
      <c r="G11" s="31">
        <v>66253.7</v>
      </c>
      <c r="H11" s="31" t="s">
        <v>2</v>
      </c>
      <c r="I11" s="31">
        <v>6953.7</v>
      </c>
      <c r="J11" s="32" t="s">
        <v>2</v>
      </c>
      <c r="K11" s="32" t="s">
        <v>2</v>
      </c>
      <c r="L11" s="33">
        <f t="shared" si="1"/>
        <v>230732.5</v>
      </c>
      <c r="M11" s="34">
        <v>101779.5</v>
      </c>
      <c r="N11" s="31">
        <v>10745.9</v>
      </c>
      <c r="O11" s="33">
        <f t="shared" si="2"/>
        <v>118207.1</v>
      </c>
      <c r="P11" s="31">
        <v>12695.3</v>
      </c>
      <c r="Q11" s="31">
        <v>273015.60000000003</v>
      </c>
      <c r="R11" s="33">
        <v>126.7</v>
      </c>
      <c r="S11" s="31">
        <f t="shared" si="3"/>
        <v>285837.60000000003</v>
      </c>
      <c r="T11" s="35">
        <f t="shared" si="4"/>
        <v>404044.70000000007</v>
      </c>
      <c r="U11" s="31">
        <f t="shared" si="5"/>
        <v>602158.10000000009</v>
      </c>
      <c r="V11" s="36"/>
    </row>
    <row r="12" spans="1:16382" s="37" customFormat="1" ht="15.75">
      <c r="A12" s="30">
        <v>39965</v>
      </c>
      <c r="B12" s="31">
        <v>148241.89999999997</v>
      </c>
      <c r="C12" s="31">
        <v>88724.5</v>
      </c>
      <c r="D12" s="31"/>
      <c r="E12" s="31">
        <f t="shared" si="0"/>
        <v>236966.39999999997</v>
      </c>
      <c r="F12" s="31">
        <v>153145.30000000002</v>
      </c>
      <c r="G12" s="31">
        <v>100670</v>
      </c>
      <c r="H12" s="31" t="s">
        <v>2</v>
      </c>
      <c r="I12" s="31">
        <v>9624.6</v>
      </c>
      <c r="J12" s="32" t="s">
        <v>2</v>
      </c>
      <c r="K12" s="32" t="s">
        <v>2</v>
      </c>
      <c r="L12" s="33">
        <f t="shared" si="1"/>
        <v>263439.90000000002</v>
      </c>
      <c r="M12" s="34">
        <v>125026.4</v>
      </c>
      <c r="N12" s="31">
        <v>13685.099999999999</v>
      </c>
      <c r="O12" s="33">
        <f t="shared" si="2"/>
        <v>124728.40000000002</v>
      </c>
      <c r="P12" s="31">
        <v>10443.4</v>
      </c>
      <c r="Q12" s="31">
        <v>285914.39999999997</v>
      </c>
      <c r="R12" s="33">
        <v>142.10000000000002</v>
      </c>
      <c r="S12" s="31">
        <f t="shared" si="3"/>
        <v>296499.89999999997</v>
      </c>
      <c r="T12" s="35">
        <f t="shared" si="4"/>
        <v>421228.3</v>
      </c>
      <c r="U12" s="31">
        <f t="shared" si="5"/>
        <v>658194.69999999995</v>
      </c>
      <c r="V12" s="36"/>
    </row>
    <row r="13" spans="1:16382" s="37" customFormat="1" ht="15.75">
      <c r="A13" s="30">
        <v>40057</v>
      </c>
      <c r="B13" s="31">
        <v>133943.70000000004</v>
      </c>
      <c r="C13" s="31">
        <v>88222.400000000009</v>
      </c>
      <c r="D13" s="31"/>
      <c r="E13" s="31">
        <f t="shared" si="0"/>
        <v>222166.10000000003</v>
      </c>
      <c r="F13" s="31">
        <v>138074.1</v>
      </c>
      <c r="G13" s="31">
        <v>111702.90000000001</v>
      </c>
      <c r="H13" s="31" t="s">
        <v>2</v>
      </c>
      <c r="I13" s="31">
        <v>6331.8</v>
      </c>
      <c r="J13" s="32" t="s">
        <v>2</v>
      </c>
      <c r="K13" s="32" t="s">
        <v>2</v>
      </c>
      <c r="L13" s="33">
        <f t="shared" si="1"/>
        <v>256108.79999999999</v>
      </c>
      <c r="M13" s="34">
        <v>103935.40000000001</v>
      </c>
      <c r="N13" s="31">
        <v>13697.7</v>
      </c>
      <c r="O13" s="33">
        <f t="shared" si="2"/>
        <v>138475.69999999995</v>
      </c>
      <c r="P13" s="31">
        <v>13712.800000000001</v>
      </c>
      <c r="Q13" s="31">
        <v>303197.90000000002</v>
      </c>
      <c r="R13" s="33">
        <v>396.70000000000005</v>
      </c>
      <c r="S13" s="31">
        <f t="shared" si="3"/>
        <v>317307.40000000002</v>
      </c>
      <c r="T13" s="35">
        <f t="shared" si="4"/>
        <v>455783.1</v>
      </c>
      <c r="U13" s="31">
        <f t="shared" si="5"/>
        <v>677949.2</v>
      </c>
      <c r="V13" s="36"/>
    </row>
    <row r="14" spans="1:16382" s="37" customFormat="1" ht="15.75">
      <c r="A14" s="30">
        <v>40148</v>
      </c>
      <c r="B14" s="31">
        <v>144966.20000000007</v>
      </c>
      <c r="C14" s="31">
        <v>119531.40000000002</v>
      </c>
      <c r="D14" s="31"/>
      <c r="E14" s="31">
        <f t="shared" si="0"/>
        <v>264497.60000000009</v>
      </c>
      <c r="F14" s="31">
        <v>215622.30000000002</v>
      </c>
      <c r="G14" s="31">
        <v>100072.8</v>
      </c>
      <c r="H14" s="31" t="s">
        <v>2</v>
      </c>
      <c r="I14" s="31">
        <v>11255.3</v>
      </c>
      <c r="J14" s="32" t="s">
        <v>2</v>
      </c>
      <c r="K14" s="32" t="s">
        <v>2</v>
      </c>
      <c r="L14" s="33">
        <f t="shared" si="1"/>
        <v>326950.40000000002</v>
      </c>
      <c r="M14" s="34">
        <v>133925.09999999998</v>
      </c>
      <c r="N14" s="31">
        <v>14842.5</v>
      </c>
      <c r="O14" s="33">
        <f t="shared" si="2"/>
        <v>178182.80000000005</v>
      </c>
      <c r="P14" s="31">
        <v>8440.7000000000007</v>
      </c>
      <c r="Q14" s="31">
        <v>321233.5</v>
      </c>
      <c r="R14" s="33">
        <v>497.1</v>
      </c>
      <c r="S14" s="31">
        <f t="shared" si="3"/>
        <v>330171.3</v>
      </c>
      <c r="T14" s="35">
        <f t="shared" si="4"/>
        <v>508354.10000000003</v>
      </c>
      <c r="U14" s="31">
        <f t="shared" si="5"/>
        <v>772851.70000000019</v>
      </c>
      <c r="V14" s="36"/>
    </row>
    <row r="15" spans="1:16382" s="37" customFormat="1" ht="15.75">
      <c r="A15" s="30">
        <v>40238</v>
      </c>
      <c r="B15" s="31">
        <v>136213.69999999992</v>
      </c>
      <c r="C15" s="31">
        <v>122176.10000000003</v>
      </c>
      <c r="D15" s="31"/>
      <c r="E15" s="31">
        <f t="shared" si="0"/>
        <v>258389.79999999996</v>
      </c>
      <c r="F15" s="31">
        <v>154941.59999999998</v>
      </c>
      <c r="G15" s="31">
        <v>114821.4</v>
      </c>
      <c r="H15" s="31" t="s">
        <v>2</v>
      </c>
      <c r="I15" s="31">
        <v>8598.3000000000011</v>
      </c>
      <c r="J15" s="31">
        <v>18525</v>
      </c>
      <c r="K15" s="31" t="s">
        <v>2</v>
      </c>
      <c r="L15" s="33">
        <f t="shared" si="1"/>
        <v>296886.3</v>
      </c>
      <c r="M15" s="34">
        <v>137174.40000000002</v>
      </c>
      <c r="N15" s="31">
        <v>15411</v>
      </c>
      <c r="O15" s="33">
        <f t="shared" si="2"/>
        <v>144300.89999999997</v>
      </c>
      <c r="P15" s="31">
        <v>6418.5000000000009</v>
      </c>
      <c r="Q15" s="31">
        <v>342239.60000000003</v>
      </c>
      <c r="R15" s="33">
        <v>462.8</v>
      </c>
      <c r="S15" s="31">
        <f t="shared" si="3"/>
        <v>349120.9</v>
      </c>
      <c r="T15" s="35">
        <f t="shared" si="4"/>
        <v>493421.8</v>
      </c>
      <c r="U15" s="31">
        <f t="shared" si="5"/>
        <v>751811.6</v>
      </c>
      <c r="V15" s="36"/>
    </row>
    <row r="16" spans="1:16382" s="37" customFormat="1" ht="15.75">
      <c r="A16" s="30">
        <v>40330</v>
      </c>
      <c r="B16" s="31">
        <v>94137.999999999971</v>
      </c>
      <c r="C16" s="31">
        <v>102210.99999999997</v>
      </c>
      <c r="D16" s="31"/>
      <c r="E16" s="31">
        <f t="shared" si="0"/>
        <v>196348.99999999994</v>
      </c>
      <c r="F16" s="31">
        <v>33331.199999999997</v>
      </c>
      <c r="G16" s="31">
        <v>79001.5</v>
      </c>
      <c r="H16" s="31" t="s">
        <v>2</v>
      </c>
      <c r="I16" s="31">
        <v>9787.6999999999989</v>
      </c>
      <c r="J16" s="31">
        <v>40525</v>
      </c>
      <c r="K16" s="31">
        <v>146979.70000000001</v>
      </c>
      <c r="L16" s="33">
        <f t="shared" si="1"/>
        <v>309625.09999999998</v>
      </c>
      <c r="M16" s="34">
        <v>114248.4</v>
      </c>
      <c r="N16" s="31">
        <v>15094.000000000002</v>
      </c>
      <c r="O16" s="33">
        <f t="shared" si="2"/>
        <v>180282.69999999998</v>
      </c>
      <c r="P16" s="31">
        <v>9789</v>
      </c>
      <c r="Q16" s="31">
        <v>378377.39999999997</v>
      </c>
      <c r="R16" s="33">
        <v>512.09999999999991</v>
      </c>
      <c r="S16" s="31">
        <f t="shared" si="3"/>
        <v>388678.49999999994</v>
      </c>
      <c r="T16" s="35">
        <f t="shared" si="4"/>
        <v>568961.19999999995</v>
      </c>
      <c r="U16" s="31">
        <f t="shared" si="5"/>
        <v>765310.2</v>
      </c>
      <c r="V16" s="36"/>
    </row>
    <row r="17" spans="1:22" s="37" customFormat="1" ht="15.75">
      <c r="A17" s="30">
        <v>40422</v>
      </c>
      <c r="B17" s="31">
        <v>69547.100000000035</v>
      </c>
      <c r="C17" s="31">
        <v>98149.299999999988</v>
      </c>
      <c r="D17" s="31"/>
      <c r="E17" s="31">
        <f t="shared" si="0"/>
        <v>167696.40000000002</v>
      </c>
      <c r="F17" s="31">
        <v>37014.199999999997</v>
      </c>
      <c r="G17" s="31">
        <v>97609.1</v>
      </c>
      <c r="H17" s="31" t="s">
        <v>2</v>
      </c>
      <c r="I17" s="31">
        <v>9655.2999999999993</v>
      </c>
      <c r="J17" s="31">
        <v>50525</v>
      </c>
      <c r="K17" s="31">
        <v>146055.29999999999</v>
      </c>
      <c r="L17" s="33">
        <f t="shared" si="1"/>
        <v>340858.89999999997</v>
      </c>
      <c r="M17" s="34">
        <v>108989</v>
      </c>
      <c r="N17" s="31">
        <v>13247.7</v>
      </c>
      <c r="O17" s="33">
        <f t="shared" si="2"/>
        <v>218622.19999999995</v>
      </c>
      <c r="P17" s="31">
        <v>21154.600000000002</v>
      </c>
      <c r="Q17" s="31">
        <v>401374.89999999997</v>
      </c>
      <c r="R17" s="33">
        <v>647.79999999999995</v>
      </c>
      <c r="S17" s="31">
        <f t="shared" si="3"/>
        <v>423177.29999999993</v>
      </c>
      <c r="T17" s="35">
        <f t="shared" si="4"/>
        <v>641799.49999999988</v>
      </c>
      <c r="U17" s="31">
        <f t="shared" si="5"/>
        <v>809495.89999999991</v>
      </c>
      <c r="V17" s="36"/>
    </row>
    <row r="18" spans="1:22" s="37" customFormat="1" ht="15.75">
      <c r="A18" s="30">
        <v>40513</v>
      </c>
      <c r="B18" s="31">
        <v>141613.59999999998</v>
      </c>
      <c r="C18" s="31">
        <v>112437.40000000001</v>
      </c>
      <c r="D18" s="31"/>
      <c r="E18" s="31">
        <f t="shared" si="0"/>
        <v>254051</v>
      </c>
      <c r="F18" s="31">
        <v>19134.2</v>
      </c>
      <c r="G18" s="31">
        <v>109104.5</v>
      </c>
      <c r="H18" s="31" t="s">
        <v>2</v>
      </c>
      <c r="I18" s="31">
        <v>14177.3</v>
      </c>
      <c r="J18" s="31">
        <v>88925</v>
      </c>
      <c r="K18" s="31">
        <v>145130.9</v>
      </c>
      <c r="L18" s="33">
        <f t="shared" si="1"/>
        <v>376471.9</v>
      </c>
      <c r="M18" s="34">
        <v>154442.40000000002</v>
      </c>
      <c r="N18" s="31">
        <v>11748.2</v>
      </c>
      <c r="O18" s="33">
        <f t="shared" si="2"/>
        <v>210281.3</v>
      </c>
      <c r="P18" s="31">
        <v>8682.2000000000007</v>
      </c>
      <c r="Q18" s="31">
        <v>460562.3</v>
      </c>
      <c r="R18" s="33">
        <v>599.4</v>
      </c>
      <c r="S18" s="31">
        <f t="shared" si="3"/>
        <v>469843.9</v>
      </c>
      <c r="T18" s="35">
        <f t="shared" si="4"/>
        <v>680125.2</v>
      </c>
      <c r="U18" s="31">
        <f t="shared" si="5"/>
        <v>934176.2</v>
      </c>
      <c r="V18" s="36"/>
    </row>
    <row r="19" spans="1:22" s="37" customFormat="1" ht="15.75">
      <c r="A19" s="30">
        <v>40603</v>
      </c>
      <c r="B19" s="31">
        <v>143339.09999999998</v>
      </c>
      <c r="C19" s="31">
        <v>104483.19999999995</v>
      </c>
      <c r="D19" s="31"/>
      <c r="E19" s="31">
        <f t="shared" si="0"/>
        <v>247822.29999999993</v>
      </c>
      <c r="F19" s="31">
        <v>2480.5</v>
      </c>
      <c r="G19" s="31">
        <v>119566.29999999999</v>
      </c>
      <c r="H19" s="31" t="s">
        <v>2</v>
      </c>
      <c r="I19" s="31">
        <v>12695.1</v>
      </c>
      <c r="J19" s="31">
        <v>74325</v>
      </c>
      <c r="K19" s="31">
        <v>144206.6</v>
      </c>
      <c r="L19" s="33">
        <f t="shared" si="1"/>
        <v>353273.5</v>
      </c>
      <c r="M19" s="34">
        <v>168004.45</v>
      </c>
      <c r="N19" s="31">
        <v>9395.7999999999993</v>
      </c>
      <c r="O19" s="33">
        <f t="shared" si="2"/>
        <v>175873.25</v>
      </c>
      <c r="P19" s="31">
        <v>6471.0000000000009</v>
      </c>
      <c r="Q19" s="31">
        <v>493087.8</v>
      </c>
      <c r="R19" s="33">
        <v>599</v>
      </c>
      <c r="S19" s="31">
        <f t="shared" si="3"/>
        <v>500157.8</v>
      </c>
      <c r="T19" s="35">
        <f t="shared" si="4"/>
        <v>676031.05</v>
      </c>
      <c r="U19" s="31">
        <f t="shared" si="5"/>
        <v>923853.35</v>
      </c>
      <c r="V19" s="36"/>
    </row>
    <row r="20" spans="1:22" s="37" customFormat="1" ht="15.75">
      <c r="A20" s="30">
        <v>40695</v>
      </c>
      <c r="B20" s="31">
        <v>133383.10000000003</v>
      </c>
      <c r="C20" s="31">
        <v>90655.799999999988</v>
      </c>
      <c r="D20" s="31"/>
      <c r="E20" s="31">
        <f t="shared" si="0"/>
        <v>224038.90000000002</v>
      </c>
      <c r="F20" s="31">
        <v>24462.799999999999</v>
      </c>
      <c r="G20" s="31">
        <v>117440.9</v>
      </c>
      <c r="H20" s="31" t="s">
        <v>2</v>
      </c>
      <c r="I20" s="31">
        <v>17897.8</v>
      </c>
      <c r="J20" s="31">
        <v>74325</v>
      </c>
      <c r="K20" s="31">
        <v>143282.1</v>
      </c>
      <c r="L20" s="33">
        <f t="shared" si="1"/>
        <v>377408.6</v>
      </c>
      <c r="M20" s="34">
        <v>178132.2</v>
      </c>
      <c r="N20" s="31">
        <v>12941</v>
      </c>
      <c r="O20" s="33">
        <f t="shared" si="2"/>
        <v>186335.39999999997</v>
      </c>
      <c r="P20" s="31">
        <v>5148.5000000000009</v>
      </c>
      <c r="Q20" s="31">
        <v>552170.20000000007</v>
      </c>
      <c r="R20" s="33">
        <v>597.5</v>
      </c>
      <c r="S20" s="31">
        <f t="shared" si="3"/>
        <v>557916.20000000007</v>
      </c>
      <c r="T20" s="35">
        <f t="shared" si="4"/>
        <v>744251.60000000009</v>
      </c>
      <c r="U20" s="31">
        <f t="shared" si="5"/>
        <v>968290.50000000012</v>
      </c>
      <c r="V20" s="36"/>
    </row>
    <row r="21" spans="1:22" s="37" customFormat="1" ht="15.75">
      <c r="A21" s="30">
        <v>40787</v>
      </c>
      <c r="B21" s="31">
        <v>81241.400000000023</v>
      </c>
      <c r="C21" s="31">
        <v>88234.400000000023</v>
      </c>
      <c r="D21" s="31"/>
      <c r="E21" s="31">
        <f t="shared" si="0"/>
        <v>169475.80000000005</v>
      </c>
      <c r="F21" s="31">
        <v>29256.3</v>
      </c>
      <c r="G21" s="31">
        <v>106984.4</v>
      </c>
      <c r="H21" s="31" t="s">
        <v>2</v>
      </c>
      <c r="I21" s="31">
        <v>12911.2</v>
      </c>
      <c r="J21" s="31">
        <v>74325</v>
      </c>
      <c r="K21" s="31">
        <v>142357.70000000001</v>
      </c>
      <c r="L21" s="33">
        <f t="shared" si="1"/>
        <v>365834.6</v>
      </c>
      <c r="M21" s="34">
        <v>152796.54999999999</v>
      </c>
      <c r="N21" s="31">
        <v>13503.9</v>
      </c>
      <c r="O21" s="33">
        <f t="shared" si="2"/>
        <v>199534.15</v>
      </c>
      <c r="P21" s="31">
        <v>8482.0999999999985</v>
      </c>
      <c r="Q21" s="31">
        <v>592674.85</v>
      </c>
      <c r="R21" s="33">
        <v>1019.5999999999999</v>
      </c>
      <c r="S21" s="31">
        <f t="shared" si="3"/>
        <v>602176.54999999993</v>
      </c>
      <c r="T21" s="35">
        <f t="shared" si="4"/>
        <v>801710.7</v>
      </c>
      <c r="U21" s="31">
        <f t="shared" si="5"/>
        <v>971186.5</v>
      </c>
      <c r="V21" s="36"/>
    </row>
    <row r="22" spans="1:22" s="37" customFormat="1" ht="15.75">
      <c r="A22" s="30">
        <v>40878</v>
      </c>
      <c r="B22" s="31">
        <v>82293.999999999942</v>
      </c>
      <c r="C22" s="31">
        <v>123231.6</v>
      </c>
      <c r="D22" s="31"/>
      <c r="E22" s="31">
        <f t="shared" si="0"/>
        <v>205525.59999999995</v>
      </c>
      <c r="F22" s="31">
        <v>86260.6</v>
      </c>
      <c r="G22" s="31">
        <v>84484.4</v>
      </c>
      <c r="H22" s="31" t="s">
        <v>2</v>
      </c>
      <c r="I22" s="31">
        <v>14746.9</v>
      </c>
      <c r="J22" s="31">
        <v>94325</v>
      </c>
      <c r="K22" s="31">
        <v>141433.29999999999</v>
      </c>
      <c r="L22" s="33">
        <f t="shared" si="1"/>
        <v>421250.2</v>
      </c>
      <c r="M22" s="34">
        <v>175708.5</v>
      </c>
      <c r="N22" s="31">
        <v>14154.1</v>
      </c>
      <c r="O22" s="33">
        <f t="shared" si="2"/>
        <v>231387.6</v>
      </c>
      <c r="P22" s="31">
        <v>4009.9000000000005</v>
      </c>
      <c r="Q22" s="31">
        <v>612267</v>
      </c>
      <c r="R22" s="33">
        <v>1021.9000000000001</v>
      </c>
      <c r="S22" s="31">
        <f t="shared" si="3"/>
        <v>617298.80000000005</v>
      </c>
      <c r="T22" s="35">
        <f t="shared" si="4"/>
        <v>848686.4</v>
      </c>
      <c r="U22" s="31">
        <f t="shared" si="5"/>
        <v>1054212</v>
      </c>
      <c r="V22" s="36"/>
    </row>
    <row r="23" spans="1:22" s="37" customFormat="1" ht="15.75">
      <c r="A23" s="30">
        <v>40969</v>
      </c>
      <c r="B23" s="31">
        <v>67729.100000000093</v>
      </c>
      <c r="C23" s="31">
        <v>118491.8</v>
      </c>
      <c r="D23" s="31"/>
      <c r="E23" s="31">
        <f t="shared" si="0"/>
        <v>186220.90000000008</v>
      </c>
      <c r="F23" s="31">
        <v>41361.199999999997</v>
      </c>
      <c r="G23" s="31">
        <v>72751.099999999991</v>
      </c>
      <c r="H23" s="31" t="s">
        <v>2</v>
      </c>
      <c r="I23" s="31">
        <v>16271.5</v>
      </c>
      <c r="J23" s="31">
        <v>94325</v>
      </c>
      <c r="K23" s="31">
        <v>140508.9</v>
      </c>
      <c r="L23" s="33">
        <f t="shared" si="1"/>
        <v>365217.69999999995</v>
      </c>
      <c r="M23" s="34">
        <v>189874.75</v>
      </c>
      <c r="N23" s="31">
        <v>16840.8</v>
      </c>
      <c r="O23" s="33">
        <f t="shared" si="2"/>
        <v>158502.14999999997</v>
      </c>
      <c r="P23" s="31">
        <v>11397</v>
      </c>
      <c r="Q23" s="31">
        <v>625626.10000000009</v>
      </c>
      <c r="R23" s="33">
        <v>943.4</v>
      </c>
      <c r="S23" s="31">
        <f t="shared" si="3"/>
        <v>637966.50000000012</v>
      </c>
      <c r="T23" s="35">
        <f t="shared" si="4"/>
        <v>796468.65000000014</v>
      </c>
      <c r="U23" s="31">
        <f t="shared" si="5"/>
        <v>982689.55000000028</v>
      </c>
      <c r="V23" s="36"/>
    </row>
    <row r="24" spans="1:22" s="37" customFormat="1" ht="15.75">
      <c r="A24" s="30">
        <v>41061</v>
      </c>
      <c r="B24" s="31">
        <v>49308</v>
      </c>
      <c r="C24" s="31">
        <v>78556.900000000023</v>
      </c>
      <c r="D24" s="31"/>
      <c r="E24" s="31">
        <f t="shared" si="0"/>
        <v>127864.90000000002</v>
      </c>
      <c r="F24" s="31">
        <v>49375</v>
      </c>
      <c r="G24" s="31">
        <v>63101.1</v>
      </c>
      <c r="H24" s="31" t="s">
        <v>2</v>
      </c>
      <c r="I24" s="31">
        <v>18502.399999999998</v>
      </c>
      <c r="J24" s="31">
        <v>94325</v>
      </c>
      <c r="K24" s="31">
        <v>139584.5</v>
      </c>
      <c r="L24" s="33">
        <f t="shared" si="1"/>
        <v>364888</v>
      </c>
      <c r="M24" s="34">
        <v>146789.10000000003</v>
      </c>
      <c r="N24" s="31">
        <v>13565.2</v>
      </c>
      <c r="O24" s="33">
        <f t="shared" si="2"/>
        <v>204533.69999999995</v>
      </c>
      <c r="P24" s="31">
        <v>16232.4</v>
      </c>
      <c r="Q24" s="31">
        <v>681196.70000000007</v>
      </c>
      <c r="R24" s="33">
        <v>1005.8</v>
      </c>
      <c r="S24" s="31">
        <f t="shared" si="3"/>
        <v>698434.90000000014</v>
      </c>
      <c r="T24" s="35">
        <f t="shared" si="4"/>
        <v>902968.60000000009</v>
      </c>
      <c r="U24" s="31">
        <f t="shared" si="5"/>
        <v>1030833.5000000001</v>
      </c>
      <c r="V24" s="36"/>
    </row>
    <row r="25" spans="1:22" s="37" customFormat="1" ht="15.75">
      <c r="A25" s="30">
        <v>41153</v>
      </c>
      <c r="B25" s="31">
        <v>55414.5</v>
      </c>
      <c r="C25" s="31">
        <v>105595.80000000003</v>
      </c>
      <c r="D25" s="31"/>
      <c r="E25" s="31">
        <f t="shared" si="0"/>
        <v>161010.30000000005</v>
      </c>
      <c r="F25" s="31">
        <v>51763.199999999997</v>
      </c>
      <c r="G25" s="31">
        <v>38166.800000000003</v>
      </c>
      <c r="H25" s="31" t="s">
        <v>2</v>
      </c>
      <c r="I25" s="31">
        <v>13870.5</v>
      </c>
      <c r="J25" s="31">
        <v>108925</v>
      </c>
      <c r="K25" s="31">
        <v>138968.29999999999</v>
      </c>
      <c r="L25" s="33">
        <f t="shared" si="1"/>
        <v>351693.8</v>
      </c>
      <c r="M25" s="34">
        <v>133972.04999999999</v>
      </c>
      <c r="N25" s="31">
        <v>15255.2</v>
      </c>
      <c r="O25" s="33">
        <f t="shared" si="2"/>
        <v>202466.55</v>
      </c>
      <c r="P25" s="31">
        <v>24945.899999999998</v>
      </c>
      <c r="Q25" s="31">
        <v>685471.85000000009</v>
      </c>
      <c r="R25" s="33">
        <v>1059.5</v>
      </c>
      <c r="S25" s="31">
        <f t="shared" si="3"/>
        <v>711477.25000000012</v>
      </c>
      <c r="T25" s="35">
        <f t="shared" si="4"/>
        <v>913943.8</v>
      </c>
      <c r="U25" s="31">
        <f t="shared" si="5"/>
        <v>1074954.1000000001</v>
      </c>
      <c r="V25" s="36"/>
    </row>
    <row r="26" spans="1:22" s="37" customFormat="1" ht="15.75">
      <c r="A26" s="30">
        <v>41244</v>
      </c>
      <c r="B26" s="31">
        <v>66928.900000000023</v>
      </c>
      <c r="C26" s="31">
        <v>129708.8</v>
      </c>
      <c r="D26" s="31"/>
      <c r="E26" s="31">
        <f t="shared" si="0"/>
        <v>196637.7</v>
      </c>
      <c r="F26" s="31">
        <v>155251.9</v>
      </c>
      <c r="G26" s="31">
        <v>49024.3</v>
      </c>
      <c r="H26" s="31"/>
      <c r="I26" s="31">
        <v>17982.599999999999</v>
      </c>
      <c r="J26" s="31">
        <v>117037.4</v>
      </c>
      <c r="K26" s="31">
        <v>137735.70000000001</v>
      </c>
      <c r="L26" s="33">
        <f t="shared" si="1"/>
        <v>477031.9</v>
      </c>
      <c r="M26" s="34">
        <v>182803.7</v>
      </c>
      <c r="N26" s="31">
        <v>18296</v>
      </c>
      <c r="O26" s="33">
        <f t="shared" si="2"/>
        <v>275932.2</v>
      </c>
      <c r="P26" s="31">
        <v>24157.200000000001</v>
      </c>
      <c r="Q26" s="31">
        <v>683891.70000000007</v>
      </c>
      <c r="R26" s="33">
        <v>1057.9000000000001</v>
      </c>
      <c r="S26" s="31">
        <f t="shared" si="3"/>
        <v>709106.8</v>
      </c>
      <c r="T26" s="35">
        <f t="shared" si="4"/>
        <v>985039</v>
      </c>
      <c r="U26" s="31">
        <f t="shared" si="5"/>
        <v>1181676.7</v>
      </c>
      <c r="V26" s="36"/>
    </row>
    <row r="27" spans="1:22" s="37" customFormat="1" ht="15.75">
      <c r="A27" s="30">
        <v>41334</v>
      </c>
      <c r="B27" s="31">
        <v>48746.900000000081</v>
      </c>
      <c r="C27" s="31">
        <v>149107.00000000003</v>
      </c>
      <c r="D27" s="31">
        <v>-24.299999999999997</v>
      </c>
      <c r="E27" s="31">
        <f t="shared" si="0"/>
        <v>197829.60000000012</v>
      </c>
      <c r="F27" s="32" t="s">
        <v>2</v>
      </c>
      <c r="G27" s="31">
        <v>47334.399999999994</v>
      </c>
      <c r="H27" s="31"/>
      <c r="I27" s="31">
        <v>18914.7</v>
      </c>
      <c r="J27" s="31">
        <v>112857.5</v>
      </c>
      <c r="K27" s="31">
        <v>292063.09999999998</v>
      </c>
      <c r="L27" s="33">
        <f t="shared" si="1"/>
        <v>471169.69999999995</v>
      </c>
      <c r="M27" s="34">
        <v>207006.84999999998</v>
      </c>
      <c r="N27" s="31">
        <v>23122.7</v>
      </c>
      <c r="O27" s="33">
        <f t="shared" si="2"/>
        <v>241040.14999999997</v>
      </c>
      <c r="P27" s="31">
        <v>27027.699999999997</v>
      </c>
      <c r="Q27" s="31">
        <v>720855.35</v>
      </c>
      <c r="R27" s="33">
        <v>1398.1999999999998</v>
      </c>
      <c r="S27" s="31">
        <f t="shared" si="3"/>
        <v>749281.24999999988</v>
      </c>
      <c r="T27" s="35">
        <f t="shared" si="4"/>
        <v>990321.39999999991</v>
      </c>
      <c r="U27" s="31">
        <f t="shared" si="5"/>
        <v>1188151</v>
      </c>
      <c r="V27" s="36"/>
    </row>
    <row r="28" spans="1:22" s="37" customFormat="1" ht="15.75">
      <c r="A28" s="30">
        <v>41426</v>
      </c>
      <c r="B28" s="31">
        <v>56965.400000000081</v>
      </c>
      <c r="C28" s="31">
        <v>101928.40000000002</v>
      </c>
      <c r="D28" s="31">
        <v>-48.599999999999994</v>
      </c>
      <c r="E28" s="31">
        <f t="shared" ref="E28:E50" si="6">SUM(B28:D28)</f>
        <v>158845.2000000001</v>
      </c>
      <c r="F28" s="32" t="s">
        <v>2</v>
      </c>
      <c r="G28" s="31">
        <v>70934.600000000006</v>
      </c>
      <c r="H28" s="31"/>
      <c r="I28" s="31">
        <v>18757.3</v>
      </c>
      <c r="J28" s="31">
        <v>108677.6</v>
      </c>
      <c r="K28" s="31">
        <v>291138.8</v>
      </c>
      <c r="L28" s="33">
        <f t="shared" ref="L28:L50" si="7">SUM(F28:K28)</f>
        <v>489508.3</v>
      </c>
      <c r="M28" s="34">
        <v>190482.9</v>
      </c>
      <c r="N28" s="31">
        <v>15910.9</v>
      </c>
      <c r="O28" s="33">
        <f t="shared" ref="O28:O50" si="8">L28-M28-N28</f>
        <v>283114.5</v>
      </c>
      <c r="P28" s="31">
        <v>30429.199999999997</v>
      </c>
      <c r="Q28" s="31">
        <v>726941.90000000014</v>
      </c>
      <c r="R28" s="33">
        <v>1401.7</v>
      </c>
      <c r="S28" s="31">
        <f t="shared" ref="S28:S50" si="9">SUM(P28:R28)</f>
        <v>758772.8</v>
      </c>
      <c r="T28" s="35">
        <f t="shared" ref="T28:T50" si="10">S28+O28</f>
        <v>1041887.3</v>
      </c>
      <c r="U28" s="31">
        <f t="shared" ref="U28:U50" si="11">T28+E28</f>
        <v>1200732.5000000002</v>
      </c>
      <c r="V28" s="36"/>
    </row>
    <row r="29" spans="1:22" s="37" customFormat="1" ht="15.75">
      <c r="A29" s="30">
        <v>41518</v>
      </c>
      <c r="B29" s="31">
        <v>78410.799999999988</v>
      </c>
      <c r="C29" s="31">
        <v>86375.500000000015</v>
      </c>
      <c r="D29" s="31">
        <v>-72.899999999999991</v>
      </c>
      <c r="E29" s="31">
        <f t="shared" si="6"/>
        <v>164713.4</v>
      </c>
      <c r="F29" s="32" t="s">
        <v>2</v>
      </c>
      <c r="G29" s="31">
        <v>104499.4</v>
      </c>
      <c r="H29" s="31"/>
      <c r="I29" s="31">
        <v>22464.7</v>
      </c>
      <c r="J29" s="31">
        <v>107284.3</v>
      </c>
      <c r="K29" s="31">
        <v>290214.40000000002</v>
      </c>
      <c r="L29" s="33">
        <f t="shared" si="7"/>
        <v>524462.80000000005</v>
      </c>
      <c r="M29" s="34">
        <v>213218.7</v>
      </c>
      <c r="N29" s="31">
        <v>21460.2</v>
      </c>
      <c r="O29" s="33">
        <f t="shared" si="8"/>
        <v>289783.90000000002</v>
      </c>
      <c r="P29" s="31">
        <v>36136.950000000004</v>
      </c>
      <c r="Q29" s="31">
        <v>759532.1</v>
      </c>
      <c r="R29" s="33">
        <v>2197.5</v>
      </c>
      <c r="S29" s="31">
        <f t="shared" si="9"/>
        <v>797866.54999999993</v>
      </c>
      <c r="T29" s="35">
        <f t="shared" si="10"/>
        <v>1087650.45</v>
      </c>
      <c r="U29" s="31">
        <f t="shared" si="11"/>
        <v>1252363.8499999999</v>
      </c>
      <c r="V29" s="36"/>
    </row>
    <row r="30" spans="1:22" s="37" customFormat="1" ht="15.75">
      <c r="A30" s="30">
        <v>41609</v>
      </c>
      <c r="B30" s="31">
        <v>118133.79999999993</v>
      </c>
      <c r="C30" s="31">
        <v>111622.29999999997</v>
      </c>
      <c r="D30" s="31">
        <v>-97.2</v>
      </c>
      <c r="E30" s="31">
        <f t="shared" si="6"/>
        <v>229658.89999999991</v>
      </c>
      <c r="F30" s="32" t="s">
        <v>2</v>
      </c>
      <c r="G30" s="31">
        <v>109019.90000000001</v>
      </c>
      <c r="H30" s="31"/>
      <c r="I30" s="31">
        <v>18506.300000000003</v>
      </c>
      <c r="J30" s="31">
        <v>107284.3</v>
      </c>
      <c r="K30" s="31">
        <v>289290</v>
      </c>
      <c r="L30" s="33">
        <f t="shared" si="7"/>
        <v>524100.5</v>
      </c>
      <c r="M30" s="34">
        <v>227012.90000000002</v>
      </c>
      <c r="N30" s="31">
        <v>23790.1</v>
      </c>
      <c r="O30" s="33">
        <f t="shared" si="8"/>
        <v>273297.5</v>
      </c>
      <c r="P30" s="31">
        <v>36129.5</v>
      </c>
      <c r="Q30" s="31">
        <v>743181.20000000019</v>
      </c>
      <c r="R30" s="33">
        <v>2469.1999999999998</v>
      </c>
      <c r="S30" s="31">
        <f t="shared" si="9"/>
        <v>781779.90000000014</v>
      </c>
      <c r="T30" s="35">
        <f t="shared" si="10"/>
        <v>1055077.4000000001</v>
      </c>
      <c r="U30" s="31">
        <f t="shared" si="11"/>
        <v>1284736.3</v>
      </c>
      <c r="V30" s="36"/>
    </row>
    <row r="31" spans="1:22" s="37" customFormat="1" ht="15.75">
      <c r="A31" s="30">
        <v>41699</v>
      </c>
      <c r="B31" s="38">
        <v>95018.600000000035</v>
      </c>
      <c r="C31" s="38">
        <v>115929.5</v>
      </c>
      <c r="D31" s="38">
        <v>-97.15</v>
      </c>
      <c r="E31" s="31">
        <f t="shared" si="6"/>
        <v>210850.95000000004</v>
      </c>
      <c r="F31" s="32">
        <v>8513</v>
      </c>
      <c r="G31" s="38">
        <v>108771.9</v>
      </c>
      <c r="H31" s="31"/>
      <c r="I31" s="31">
        <v>13380.9</v>
      </c>
      <c r="J31" s="31">
        <v>107284.3</v>
      </c>
      <c r="K31" s="31">
        <v>288673.7</v>
      </c>
      <c r="L31" s="33">
        <f t="shared" si="7"/>
        <v>526623.80000000005</v>
      </c>
      <c r="M31" s="34">
        <v>226231.92499999999</v>
      </c>
      <c r="N31" s="31">
        <v>17505.000000000004</v>
      </c>
      <c r="O31" s="33">
        <f t="shared" si="8"/>
        <v>282886.87500000006</v>
      </c>
      <c r="P31" s="38">
        <v>35670.550000000003</v>
      </c>
      <c r="Q31" s="38">
        <v>743101.375</v>
      </c>
      <c r="R31" s="33">
        <v>3128.7000000000003</v>
      </c>
      <c r="S31" s="31">
        <f t="shared" si="9"/>
        <v>781900.625</v>
      </c>
      <c r="T31" s="35">
        <f t="shared" si="10"/>
        <v>1064787.5</v>
      </c>
      <c r="U31" s="31">
        <f t="shared" si="11"/>
        <v>1275638.45</v>
      </c>
      <c r="V31" s="36"/>
    </row>
    <row r="32" spans="1:22" s="37" customFormat="1" ht="15.75">
      <c r="A32" s="30">
        <v>41791</v>
      </c>
      <c r="B32" s="38">
        <v>89071.500000000116</v>
      </c>
      <c r="C32" s="38">
        <v>95701.300000000032</v>
      </c>
      <c r="D32" s="38">
        <v>-97.1</v>
      </c>
      <c r="E32" s="31">
        <f t="shared" si="6"/>
        <v>184675.70000000016</v>
      </c>
      <c r="F32" s="32">
        <v>39309.599999999999</v>
      </c>
      <c r="G32" s="38">
        <v>134209.09999999998</v>
      </c>
      <c r="H32" s="31"/>
      <c r="I32" s="31">
        <v>19161.199999999997</v>
      </c>
      <c r="J32" s="31">
        <v>107284.3</v>
      </c>
      <c r="K32" s="31">
        <v>287441.19999999995</v>
      </c>
      <c r="L32" s="33">
        <f t="shared" si="7"/>
        <v>587405.39999999991</v>
      </c>
      <c r="M32" s="34">
        <v>210539.85</v>
      </c>
      <c r="N32" s="31">
        <v>17287.8</v>
      </c>
      <c r="O32" s="33">
        <f t="shared" si="8"/>
        <v>359577.74999999994</v>
      </c>
      <c r="P32" s="38">
        <v>41979.700000000004</v>
      </c>
      <c r="Q32" s="38">
        <v>766726.45000000007</v>
      </c>
      <c r="R32" s="33">
        <v>3154.2</v>
      </c>
      <c r="S32" s="31">
        <f t="shared" si="9"/>
        <v>811860.35</v>
      </c>
      <c r="T32" s="35">
        <f t="shared" si="10"/>
        <v>1171438.0999999999</v>
      </c>
      <c r="U32" s="31">
        <f t="shared" si="11"/>
        <v>1356113.8</v>
      </c>
      <c r="V32" s="36"/>
    </row>
    <row r="33" spans="1:22" s="37" customFormat="1" ht="15.75">
      <c r="A33" s="30">
        <v>41883</v>
      </c>
      <c r="B33" s="38">
        <v>142837.30000000005</v>
      </c>
      <c r="C33" s="38">
        <v>70021.499999999971</v>
      </c>
      <c r="D33" s="38">
        <v>-72.849999999999994</v>
      </c>
      <c r="E33" s="31">
        <f t="shared" si="6"/>
        <v>212785.95</v>
      </c>
      <c r="F33" s="32">
        <v>27300.1</v>
      </c>
      <c r="G33" s="38">
        <v>151516.40000000002</v>
      </c>
      <c r="H33" s="31"/>
      <c r="I33" s="31">
        <v>22821.449999999997</v>
      </c>
      <c r="J33" s="31">
        <v>107284.3</v>
      </c>
      <c r="K33" s="31">
        <v>286825</v>
      </c>
      <c r="L33" s="33">
        <f t="shared" si="7"/>
        <v>595747.25</v>
      </c>
      <c r="M33" s="34">
        <v>278447.73611111112</v>
      </c>
      <c r="N33" s="31">
        <v>25072.2</v>
      </c>
      <c r="O33" s="33">
        <f t="shared" si="8"/>
        <v>292227.31388888886</v>
      </c>
      <c r="P33" s="38">
        <v>44045.2</v>
      </c>
      <c r="Q33" s="38">
        <v>785180.62499999988</v>
      </c>
      <c r="R33" s="33">
        <v>3642.8999999999996</v>
      </c>
      <c r="S33" s="31">
        <f t="shared" si="9"/>
        <v>832868.72499999986</v>
      </c>
      <c r="T33" s="35">
        <f t="shared" si="10"/>
        <v>1125096.0388888887</v>
      </c>
      <c r="U33" s="31">
        <f t="shared" si="11"/>
        <v>1337881.9888888886</v>
      </c>
      <c r="V33" s="36"/>
    </row>
    <row r="34" spans="1:22" s="37" customFormat="1" ht="15.75">
      <c r="A34" s="30">
        <v>41974</v>
      </c>
      <c r="B34" s="38">
        <v>128675.89999999997</v>
      </c>
      <c r="C34" s="38">
        <v>51849.400000000023</v>
      </c>
      <c r="D34" s="38">
        <v>-48.6</v>
      </c>
      <c r="E34" s="31">
        <f t="shared" si="6"/>
        <v>180476.69999999998</v>
      </c>
      <c r="F34" s="32">
        <v>55186.9</v>
      </c>
      <c r="G34" s="38">
        <v>147702.70000000001</v>
      </c>
      <c r="H34" s="31"/>
      <c r="I34" s="31">
        <v>49269.8</v>
      </c>
      <c r="J34" s="31">
        <v>106976.2</v>
      </c>
      <c r="K34" s="31">
        <v>285900.5</v>
      </c>
      <c r="L34" s="33">
        <f t="shared" si="7"/>
        <v>645036.10000000009</v>
      </c>
      <c r="M34" s="34">
        <v>238856.59999999998</v>
      </c>
      <c r="N34" s="31">
        <v>23004.400000000001</v>
      </c>
      <c r="O34" s="33">
        <f t="shared" si="8"/>
        <v>383175.10000000009</v>
      </c>
      <c r="P34" s="38">
        <v>40818.700000000004</v>
      </c>
      <c r="Q34" s="38">
        <v>814694.39999999991</v>
      </c>
      <c r="R34" s="33">
        <v>3449.2999999999997</v>
      </c>
      <c r="S34" s="31">
        <f t="shared" si="9"/>
        <v>858962.39999999991</v>
      </c>
      <c r="T34" s="35">
        <f t="shared" si="10"/>
        <v>1242137.5</v>
      </c>
      <c r="U34" s="31">
        <f t="shared" si="11"/>
        <v>1422614.2</v>
      </c>
      <c r="V34" s="36"/>
    </row>
    <row r="35" spans="1:22" s="37" customFormat="1" ht="15.75">
      <c r="A35" s="30">
        <v>42064</v>
      </c>
      <c r="B35" s="32">
        <v>115526.40000000002</v>
      </c>
      <c r="C35" s="32">
        <v>45364.599999999977</v>
      </c>
      <c r="D35" s="32">
        <v>-24.300000000000004</v>
      </c>
      <c r="E35" s="31">
        <f t="shared" si="6"/>
        <v>160866.70000000001</v>
      </c>
      <c r="F35" s="32">
        <v>23590.1</v>
      </c>
      <c r="G35" s="32">
        <v>156652.5</v>
      </c>
      <c r="H35" s="32"/>
      <c r="I35" s="31">
        <v>51794.399999999994</v>
      </c>
      <c r="J35" s="32">
        <v>104166</v>
      </c>
      <c r="K35" s="32">
        <v>284644.40000000002</v>
      </c>
      <c r="L35" s="33">
        <f t="shared" si="7"/>
        <v>620847.4</v>
      </c>
      <c r="M35" s="32">
        <v>247417.85000000003</v>
      </c>
      <c r="N35" s="31">
        <v>29000.600000000002</v>
      </c>
      <c r="O35" s="33">
        <f t="shared" si="8"/>
        <v>344428.95</v>
      </c>
      <c r="P35" s="38">
        <v>22882</v>
      </c>
      <c r="Q35" s="33">
        <v>819545.25</v>
      </c>
      <c r="R35" s="33">
        <v>3910.9</v>
      </c>
      <c r="S35" s="31">
        <f t="shared" si="9"/>
        <v>846338.15</v>
      </c>
      <c r="T35" s="35">
        <f t="shared" si="10"/>
        <v>1190767.1000000001</v>
      </c>
      <c r="U35" s="31">
        <f t="shared" si="11"/>
        <v>1351633.8</v>
      </c>
      <c r="V35" s="36"/>
    </row>
    <row r="36" spans="1:22" s="37" customFormat="1" ht="15.75">
      <c r="A36" s="30">
        <v>42156</v>
      </c>
      <c r="B36" s="32">
        <v>11927.5</v>
      </c>
      <c r="C36" s="32">
        <v>53211.099999999977</v>
      </c>
      <c r="D36" s="32" t="s">
        <v>2</v>
      </c>
      <c r="E36" s="31">
        <f t="shared" si="6"/>
        <v>65138.599999999977</v>
      </c>
      <c r="F36" s="32">
        <v>121700.8</v>
      </c>
      <c r="G36" s="32">
        <v>166756.20000000001</v>
      </c>
      <c r="H36" s="32"/>
      <c r="I36" s="31">
        <v>48976.1</v>
      </c>
      <c r="J36" s="32">
        <v>100317.8</v>
      </c>
      <c r="K36" s="32">
        <v>282393.09999999998</v>
      </c>
      <c r="L36" s="33">
        <f t="shared" si="7"/>
        <v>720144</v>
      </c>
      <c r="M36" s="32">
        <v>229581.90000000002</v>
      </c>
      <c r="N36" s="31">
        <v>26258.899999999998</v>
      </c>
      <c r="O36" s="33">
        <f t="shared" si="8"/>
        <v>464303.19999999995</v>
      </c>
      <c r="P36" s="38">
        <v>9628.4</v>
      </c>
      <c r="Q36" s="33">
        <v>856754.29999999981</v>
      </c>
      <c r="R36" s="33">
        <v>3822.2</v>
      </c>
      <c r="S36" s="31">
        <f t="shared" si="9"/>
        <v>870204.89999999979</v>
      </c>
      <c r="T36" s="35">
        <f t="shared" si="10"/>
        <v>1334508.0999999996</v>
      </c>
      <c r="U36" s="31">
        <f t="shared" si="11"/>
        <v>1399646.6999999997</v>
      </c>
      <c r="V36" s="36"/>
    </row>
    <row r="37" spans="1:22" s="37" customFormat="1" ht="15.75">
      <c r="A37" s="30">
        <v>42248</v>
      </c>
      <c r="B37" s="32">
        <v>-77050.099999999977</v>
      </c>
      <c r="C37" s="32">
        <v>43805.499999999942</v>
      </c>
      <c r="D37" s="32" t="s">
        <v>2</v>
      </c>
      <c r="E37" s="31">
        <f t="shared" si="6"/>
        <v>-33244.600000000035</v>
      </c>
      <c r="F37" s="32">
        <v>201450.1</v>
      </c>
      <c r="G37" s="32">
        <v>177101.60000000003</v>
      </c>
      <c r="H37" s="32"/>
      <c r="I37" s="31">
        <v>50077.969444444447</v>
      </c>
      <c r="J37" s="32">
        <v>96137.9</v>
      </c>
      <c r="K37" s="32">
        <v>280473.5</v>
      </c>
      <c r="L37" s="33">
        <f t="shared" si="7"/>
        <v>805241.0694444445</v>
      </c>
      <c r="M37" s="32">
        <v>208852.61944444446</v>
      </c>
      <c r="N37" s="31">
        <v>29497.3</v>
      </c>
      <c r="O37" s="33">
        <f t="shared" si="8"/>
        <v>566891.15</v>
      </c>
      <c r="P37" s="38">
        <v>14965.4</v>
      </c>
      <c r="Q37" s="33">
        <v>865121.3833333333</v>
      </c>
      <c r="R37" s="33">
        <v>3755.9</v>
      </c>
      <c r="S37" s="31">
        <f t="shared" si="9"/>
        <v>883842.68333333335</v>
      </c>
      <c r="T37" s="35">
        <f t="shared" si="10"/>
        <v>1450733.8333333335</v>
      </c>
      <c r="U37" s="31">
        <f t="shared" si="11"/>
        <v>1417489.2333333334</v>
      </c>
      <c r="V37" s="36"/>
    </row>
    <row r="38" spans="1:22" s="37" customFormat="1" ht="15.75">
      <c r="A38" s="30">
        <v>42339</v>
      </c>
      <c r="B38" s="32">
        <v>-132985.60000000001</v>
      </c>
      <c r="C38" s="32">
        <v>57115.499999999971</v>
      </c>
      <c r="D38" s="32" t="s">
        <v>2</v>
      </c>
      <c r="E38" s="31">
        <f t="shared" si="6"/>
        <v>-75870.100000000035</v>
      </c>
      <c r="F38" s="32">
        <v>273246</v>
      </c>
      <c r="G38" s="32">
        <v>254809.2</v>
      </c>
      <c r="H38" s="32"/>
      <c r="I38" s="31">
        <v>50054.3</v>
      </c>
      <c r="J38" s="32">
        <v>90564.7</v>
      </c>
      <c r="K38" s="32">
        <v>277913.90000000002</v>
      </c>
      <c r="L38" s="33">
        <f t="shared" si="7"/>
        <v>946588.1</v>
      </c>
      <c r="M38" s="32">
        <v>233455.5</v>
      </c>
      <c r="N38" s="31">
        <v>26275.999999999996</v>
      </c>
      <c r="O38" s="33">
        <f t="shared" si="8"/>
        <v>686856.6</v>
      </c>
      <c r="P38" s="38">
        <v>6532.0999999999995</v>
      </c>
      <c r="Q38" s="33">
        <v>812972</v>
      </c>
      <c r="R38" s="33">
        <v>27.1</v>
      </c>
      <c r="S38" s="31">
        <f t="shared" si="9"/>
        <v>819531.2</v>
      </c>
      <c r="T38" s="35">
        <f t="shared" si="10"/>
        <v>1506387.7999999998</v>
      </c>
      <c r="U38" s="31">
        <f t="shared" si="11"/>
        <v>1430517.6999999997</v>
      </c>
      <c r="V38" s="36"/>
    </row>
    <row r="39" spans="1:22" s="37" customFormat="1" ht="15.75">
      <c r="A39" s="30">
        <v>42430</v>
      </c>
      <c r="B39" s="32">
        <v>-194954.00000000006</v>
      </c>
      <c r="C39" s="32">
        <v>33930.199999999953</v>
      </c>
      <c r="D39" s="32" t="s">
        <v>2</v>
      </c>
      <c r="E39" s="31">
        <f t="shared" si="6"/>
        <v>-161023.8000000001</v>
      </c>
      <c r="F39" s="32">
        <v>273246</v>
      </c>
      <c r="G39" s="32">
        <v>296894.8</v>
      </c>
      <c r="H39" s="32"/>
      <c r="I39" s="31">
        <v>49389.950000000004</v>
      </c>
      <c r="J39" s="32">
        <v>86384.8</v>
      </c>
      <c r="K39" s="32">
        <v>275994.3</v>
      </c>
      <c r="L39" s="33">
        <f t="shared" si="7"/>
        <v>981909.85000000009</v>
      </c>
      <c r="M39" s="32">
        <v>231671.77500000002</v>
      </c>
      <c r="N39" s="31">
        <v>25784.100000000002</v>
      </c>
      <c r="O39" s="33">
        <f t="shared" si="8"/>
        <v>724453.97500000009</v>
      </c>
      <c r="P39" s="38">
        <v>2767.5</v>
      </c>
      <c r="Q39" s="33">
        <v>832325.4</v>
      </c>
      <c r="R39" s="33">
        <v>22.2</v>
      </c>
      <c r="S39" s="31">
        <f t="shared" si="9"/>
        <v>835115.1</v>
      </c>
      <c r="T39" s="35">
        <f t="shared" si="10"/>
        <v>1559569.0750000002</v>
      </c>
      <c r="U39" s="31">
        <f t="shared" si="11"/>
        <v>1398545.2750000001</v>
      </c>
      <c r="V39" s="36"/>
    </row>
    <row r="40" spans="1:22" s="37" customFormat="1" ht="15.75">
      <c r="A40" s="30">
        <v>42522</v>
      </c>
      <c r="B40" s="32">
        <v>-186003.4</v>
      </c>
      <c r="C40" s="32">
        <v>20116.699999999953</v>
      </c>
      <c r="D40" s="32" t="s">
        <v>2</v>
      </c>
      <c r="E40" s="31">
        <f t="shared" si="6"/>
        <v>-165886.70000000004</v>
      </c>
      <c r="F40" s="32">
        <v>19504.700000000012</v>
      </c>
      <c r="G40" s="32">
        <v>348742.9</v>
      </c>
      <c r="H40" s="32"/>
      <c r="I40" s="31">
        <v>53066.8</v>
      </c>
      <c r="J40" s="32">
        <v>83598.2</v>
      </c>
      <c r="K40" s="32">
        <v>547320.69999999995</v>
      </c>
      <c r="L40" s="33">
        <f t="shared" si="7"/>
        <v>1052233.3</v>
      </c>
      <c r="M40" s="32">
        <v>222571.65000000002</v>
      </c>
      <c r="N40" s="31">
        <v>41471.800000000003</v>
      </c>
      <c r="O40" s="33">
        <f t="shared" si="8"/>
        <v>788189.85</v>
      </c>
      <c r="P40" s="38">
        <v>6427</v>
      </c>
      <c r="Q40" s="33">
        <v>857911.70000000007</v>
      </c>
      <c r="R40" s="33">
        <v>59.2</v>
      </c>
      <c r="S40" s="31">
        <f t="shared" si="9"/>
        <v>864397.9</v>
      </c>
      <c r="T40" s="35">
        <f t="shared" si="10"/>
        <v>1652587.75</v>
      </c>
      <c r="U40" s="31">
        <f t="shared" si="11"/>
        <v>1486701.05</v>
      </c>
      <c r="V40" s="36"/>
    </row>
    <row r="41" spans="1:22" s="37" customFormat="1" ht="15.75">
      <c r="A41" s="30">
        <v>42614</v>
      </c>
      <c r="B41" s="32">
        <v>-181601</v>
      </c>
      <c r="C41" s="32">
        <v>-10844.799999999959</v>
      </c>
      <c r="D41" s="32" t="s">
        <v>2</v>
      </c>
      <c r="E41" s="31">
        <f t="shared" si="6"/>
        <v>-192445.79999999996</v>
      </c>
      <c r="F41" s="32">
        <v>18972.7</v>
      </c>
      <c r="G41" s="32">
        <v>390238.4</v>
      </c>
      <c r="H41" s="32"/>
      <c r="I41" s="31">
        <v>46843.899999999994</v>
      </c>
      <c r="J41" s="32">
        <v>79418.3</v>
      </c>
      <c r="K41" s="32">
        <v>546041</v>
      </c>
      <c r="L41" s="33">
        <f t="shared" si="7"/>
        <v>1081514.3</v>
      </c>
      <c r="M41" s="32">
        <v>220076.07500000001</v>
      </c>
      <c r="N41" s="31">
        <v>34600.5</v>
      </c>
      <c r="O41" s="33">
        <f t="shared" si="8"/>
        <v>826837.72500000009</v>
      </c>
      <c r="P41" s="38">
        <v>11245.4</v>
      </c>
      <c r="Q41" s="33">
        <v>872234.79999999993</v>
      </c>
      <c r="R41" s="33">
        <v>15.5</v>
      </c>
      <c r="S41" s="31">
        <f t="shared" si="9"/>
        <v>883495.7</v>
      </c>
      <c r="T41" s="35">
        <f t="shared" si="10"/>
        <v>1710333.425</v>
      </c>
      <c r="U41" s="31">
        <f t="shared" si="11"/>
        <v>1517887.625</v>
      </c>
      <c r="V41" s="36"/>
    </row>
    <row r="42" spans="1:22" s="37" customFormat="1" ht="15.75">
      <c r="A42" s="30">
        <v>42705</v>
      </c>
      <c r="B42" s="32">
        <v>-162073.80000000002</v>
      </c>
      <c r="C42" s="32">
        <v>-14449.299999999974</v>
      </c>
      <c r="D42" s="32" t="s">
        <v>2</v>
      </c>
      <c r="E42" s="31">
        <f t="shared" si="6"/>
        <v>-176523.09999999998</v>
      </c>
      <c r="F42" s="32">
        <v>134973.1</v>
      </c>
      <c r="G42" s="32">
        <v>438079.6</v>
      </c>
      <c r="H42" s="32"/>
      <c r="I42" s="31">
        <v>37133.1</v>
      </c>
      <c r="J42" s="32">
        <v>73845.100000000006</v>
      </c>
      <c r="K42" s="32">
        <v>543481.59999999998</v>
      </c>
      <c r="L42" s="33">
        <f t="shared" si="7"/>
        <v>1227512.5</v>
      </c>
      <c r="M42" s="32">
        <v>291260.3</v>
      </c>
      <c r="N42" s="31">
        <v>30394.800000000003</v>
      </c>
      <c r="O42" s="33">
        <f t="shared" si="8"/>
        <v>905857.39999999991</v>
      </c>
      <c r="P42" s="38">
        <v>7173.4000000000005</v>
      </c>
      <c r="Q42" s="33">
        <v>854034</v>
      </c>
      <c r="R42" s="33">
        <v>57.6</v>
      </c>
      <c r="S42" s="31">
        <f t="shared" si="9"/>
        <v>861265</v>
      </c>
      <c r="T42" s="35">
        <f t="shared" si="10"/>
        <v>1767122.4</v>
      </c>
      <c r="U42" s="31">
        <f t="shared" si="11"/>
        <v>1590599.2999999998</v>
      </c>
      <c r="V42" s="36"/>
    </row>
    <row r="43" spans="1:22" s="37" customFormat="1" ht="15.75">
      <c r="A43" s="30">
        <v>42825</v>
      </c>
      <c r="B43" s="32">
        <v>-133135.90000000002</v>
      </c>
      <c r="C43" s="32">
        <v>-31494.300000000003</v>
      </c>
      <c r="D43" s="32"/>
      <c r="E43" s="31">
        <f t="shared" si="6"/>
        <v>-164630.20000000001</v>
      </c>
      <c r="F43" s="32">
        <v>130042.5</v>
      </c>
      <c r="G43" s="32">
        <v>474831.29999999993</v>
      </c>
      <c r="H43" s="32"/>
      <c r="I43" s="32">
        <v>48614.55</v>
      </c>
      <c r="J43" s="32">
        <v>69665.100000000006</v>
      </c>
      <c r="K43" s="32">
        <v>541562</v>
      </c>
      <c r="L43" s="33">
        <f t="shared" si="7"/>
        <v>1264715.45</v>
      </c>
      <c r="M43" s="32">
        <v>247676.35</v>
      </c>
      <c r="N43" s="31">
        <v>31886.899999999998</v>
      </c>
      <c r="O43" s="33">
        <f t="shared" si="8"/>
        <v>985152.2</v>
      </c>
      <c r="P43" s="38">
        <v>6812.0999999999995</v>
      </c>
      <c r="Q43" s="33">
        <v>806759.35000000009</v>
      </c>
      <c r="R43" s="33">
        <v>58.6</v>
      </c>
      <c r="S43" s="31">
        <f t="shared" si="9"/>
        <v>813630.05</v>
      </c>
      <c r="T43" s="35">
        <f t="shared" si="10"/>
        <v>1798782.25</v>
      </c>
      <c r="U43" s="31">
        <f t="shared" si="11"/>
        <v>1634152.05</v>
      </c>
      <c r="V43" s="36"/>
    </row>
    <row r="44" spans="1:22" s="37" customFormat="1" ht="15.75">
      <c r="A44" s="30">
        <v>42916</v>
      </c>
      <c r="B44" s="32">
        <v>-140476.99999999994</v>
      </c>
      <c r="C44" s="32">
        <v>-12640.399999999994</v>
      </c>
      <c r="D44" s="32"/>
      <c r="E44" s="31">
        <f t="shared" si="6"/>
        <v>-153117.39999999994</v>
      </c>
      <c r="F44" s="32">
        <v>141652.79999999999</v>
      </c>
      <c r="G44" s="32">
        <v>520961.5</v>
      </c>
      <c r="H44" s="32"/>
      <c r="I44" s="32">
        <v>41050</v>
      </c>
      <c r="J44" s="32">
        <v>66878.5</v>
      </c>
      <c r="K44" s="32">
        <v>540282.30000000005</v>
      </c>
      <c r="L44" s="33">
        <f t="shared" si="7"/>
        <v>1310825.1000000001</v>
      </c>
      <c r="M44" s="32">
        <v>246217.90000000002</v>
      </c>
      <c r="N44" s="31">
        <v>54196.200000000004</v>
      </c>
      <c r="O44" s="33">
        <f t="shared" si="8"/>
        <v>1010411.0000000002</v>
      </c>
      <c r="P44" s="38">
        <v>13580.699999999999</v>
      </c>
      <c r="Q44" s="33">
        <v>857454.3</v>
      </c>
      <c r="R44" s="33">
        <v>33.299999999999997</v>
      </c>
      <c r="S44" s="31">
        <f t="shared" si="9"/>
        <v>871068.3</v>
      </c>
      <c r="T44" s="35">
        <f t="shared" si="10"/>
        <v>1881479.3000000003</v>
      </c>
      <c r="U44" s="31">
        <f t="shared" si="11"/>
        <v>1728361.9000000004</v>
      </c>
      <c r="V44" s="36"/>
    </row>
    <row r="45" spans="1:22" s="37" customFormat="1" ht="15.75">
      <c r="A45" s="30">
        <v>43008</v>
      </c>
      <c r="B45" s="32">
        <v>-134023.79999999999</v>
      </c>
      <c r="C45" s="32">
        <v>-42355.7</v>
      </c>
      <c r="D45" s="32"/>
      <c r="E45" s="31">
        <f t="shared" si="6"/>
        <v>-176379.5</v>
      </c>
      <c r="F45" s="32">
        <v>112382.3</v>
      </c>
      <c r="G45" s="32">
        <v>550738.80000000005</v>
      </c>
      <c r="H45" s="32"/>
      <c r="I45" s="32">
        <v>44013.45</v>
      </c>
      <c r="J45" s="32">
        <v>62698.6</v>
      </c>
      <c r="K45" s="32">
        <v>538362.6</v>
      </c>
      <c r="L45" s="33">
        <f t="shared" si="7"/>
        <v>1308195.75</v>
      </c>
      <c r="M45" s="32">
        <v>234692.7</v>
      </c>
      <c r="N45" s="31">
        <v>36826.199999999997</v>
      </c>
      <c r="O45" s="33">
        <f t="shared" si="8"/>
        <v>1036676.8500000001</v>
      </c>
      <c r="P45" s="38">
        <v>28033</v>
      </c>
      <c r="Q45" s="33">
        <v>893468</v>
      </c>
      <c r="R45" s="33">
        <v>56.1</v>
      </c>
      <c r="S45" s="31">
        <f t="shared" si="9"/>
        <v>921557.1</v>
      </c>
      <c r="T45" s="35">
        <f t="shared" si="10"/>
        <v>1958233.9500000002</v>
      </c>
      <c r="U45" s="31">
        <f t="shared" si="11"/>
        <v>1781854.4500000002</v>
      </c>
      <c r="V45" s="36"/>
    </row>
    <row r="46" spans="1:22" s="37" customFormat="1" ht="15.75">
      <c r="A46" s="30">
        <v>43100</v>
      </c>
      <c r="B46" s="32">
        <v>-144480.39999999997</v>
      </c>
      <c r="C46" s="32">
        <v>-9919.6000000000058</v>
      </c>
      <c r="D46" s="32" t="s">
        <v>2</v>
      </c>
      <c r="E46" s="31">
        <f t="shared" si="6"/>
        <v>-154399.99999999997</v>
      </c>
      <c r="F46" s="32">
        <v>194279.4</v>
      </c>
      <c r="G46" s="32">
        <v>643490.6</v>
      </c>
      <c r="H46" s="32"/>
      <c r="I46" s="32">
        <v>30924.9</v>
      </c>
      <c r="J46" s="32">
        <v>57125.4</v>
      </c>
      <c r="K46" s="32">
        <v>535803.19999999995</v>
      </c>
      <c r="L46" s="33">
        <f t="shared" si="7"/>
        <v>1461623.5</v>
      </c>
      <c r="M46" s="32">
        <v>300060.10000000009</v>
      </c>
      <c r="N46" s="31">
        <v>49349</v>
      </c>
      <c r="O46" s="33">
        <f t="shared" si="8"/>
        <v>1112214.3999999999</v>
      </c>
      <c r="P46" s="38">
        <v>28762.899999999998</v>
      </c>
      <c r="Q46" s="33">
        <v>859051.5</v>
      </c>
      <c r="R46" s="33">
        <v>4937.3999999999996</v>
      </c>
      <c r="S46" s="31">
        <f t="shared" si="9"/>
        <v>892751.8</v>
      </c>
      <c r="T46" s="35">
        <f t="shared" si="10"/>
        <v>2004966.2</v>
      </c>
      <c r="U46" s="31">
        <f t="shared" si="11"/>
        <v>1850566.2</v>
      </c>
      <c r="V46" s="36"/>
    </row>
    <row r="47" spans="1:22" s="37" customFormat="1" ht="15.75">
      <c r="A47" s="30">
        <v>43190</v>
      </c>
      <c r="B47" s="32">
        <v>-180109.99999999997</v>
      </c>
      <c r="C47" s="32">
        <v>10814.499999999913</v>
      </c>
      <c r="D47" s="32" t="s">
        <v>2</v>
      </c>
      <c r="E47" s="31">
        <f t="shared" si="6"/>
        <v>-169295.50000000006</v>
      </c>
      <c r="F47" s="32">
        <v>151279.20000000001</v>
      </c>
      <c r="G47" s="32">
        <v>716057.39999999991</v>
      </c>
      <c r="H47" s="32"/>
      <c r="I47" s="32">
        <v>39655.5</v>
      </c>
      <c r="J47" s="32">
        <v>52945.5</v>
      </c>
      <c r="K47" s="32">
        <v>533314.30000000005</v>
      </c>
      <c r="L47" s="33">
        <f t="shared" si="7"/>
        <v>1493251.9</v>
      </c>
      <c r="M47" s="32">
        <v>290474.59999999998</v>
      </c>
      <c r="N47" s="31">
        <v>56551.900000000009</v>
      </c>
      <c r="O47" s="33">
        <f t="shared" si="8"/>
        <v>1146225.3999999999</v>
      </c>
      <c r="P47" s="38">
        <v>16032.599999999999</v>
      </c>
      <c r="Q47" s="33">
        <v>887426.7</v>
      </c>
      <c r="R47" s="33">
        <v>5422.5</v>
      </c>
      <c r="S47" s="31">
        <f t="shared" si="9"/>
        <v>908881.79999999993</v>
      </c>
      <c r="T47" s="35">
        <f t="shared" si="10"/>
        <v>2055107.1999999997</v>
      </c>
      <c r="U47" s="31">
        <f t="shared" si="11"/>
        <v>1885811.6999999997</v>
      </c>
    </row>
    <row r="48" spans="1:22" s="37" customFormat="1" ht="15.75">
      <c r="A48" s="30">
        <v>43281</v>
      </c>
      <c r="B48" s="32">
        <v>-175279.1</v>
      </c>
      <c r="C48" s="32">
        <v>-25976.599999999977</v>
      </c>
      <c r="D48" s="32" t="s">
        <v>2</v>
      </c>
      <c r="E48" s="31">
        <f t="shared" si="6"/>
        <v>-201255.69999999998</v>
      </c>
      <c r="F48" s="32">
        <v>201181.6</v>
      </c>
      <c r="G48" s="32">
        <v>799117.89999999991</v>
      </c>
      <c r="H48" s="32"/>
      <c r="I48" s="32">
        <v>61935.900000000009</v>
      </c>
      <c r="J48" s="32">
        <v>50158.9</v>
      </c>
      <c r="K48" s="32">
        <v>529117.6</v>
      </c>
      <c r="L48" s="33">
        <f t="shared" si="7"/>
        <v>1641511.9</v>
      </c>
      <c r="M48" s="32">
        <v>398416.1</v>
      </c>
      <c r="N48" s="31">
        <v>53521.5</v>
      </c>
      <c r="O48" s="33">
        <f t="shared" si="8"/>
        <v>1189574.2999999998</v>
      </c>
      <c r="P48" s="38">
        <v>24405.8</v>
      </c>
      <c r="Q48" s="33">
        <v>940441</v>
      </c>
      <c r="R48" s="33">
        <v>5533.2</v>
      </c>
      <c r="S48" s="31">
        <f t="shared" si="9"/>
        <v>970380</v>
      </c>
      <c r="T48" s="35">
        <f t="shared" si="10"/>
        <v>2159954.2999999998</v>
      </c>
      <c r="U48" s="31">
        <f t="shared" si="11"/>
        <v>1958698.5999999999</v>
      </c>
    </row>
    <row r="49" spans="1:22" s="37" customFormat="1" ht="15.75">
      <c r="A49" s="30">
        <v>43373</v>
      </c>
      <c r="B49" s="32">
        <v>-185086.7</v>
      </c>
      <c r="C49" s="32">
        <v>-31906.400000000052</v>
      </c>
      <c r="D49" s="32">
        <v>-291.60000000000002</v>
      </c>
      <c r="E49" s="31">
        <f t="shared" si="6"/>
        <v>-217284.70000000007</v>
      </c>
      <c r="F49" s="32">
        <v>151767</v>
      </c>
      <c r="G49" s="32">
        <v>868808.30000000016</v>
      </c>
      <c r="H49" s="32"/>
      <c r="I49" s="32">
        <v>65477.4</v>
      </c>
      <c r="J49" s="32">
        <v>45979</v>
      </c>
      <c r="K49" s="32">
        <v>526130.1</v>
      </c>
      <c r="L49" s="33">
        <f t="shared" si="7"/>
        <v>1658161.8000000003</v>
      </c>
      <c r="M49" s="32">
        <v>353050.4</v>
      </c>
      <c r="N49" s="31">
        <v>67423.399999999994</v>
      </c>
      <c r="O49" s="33">
        <f t="shared" si="8"/>
        <v>1237688.0000000005</v>
      </c>
      <c r="P49" s="38">
        <v>32676.399999999998</v>
      </c>
      <c r="Q49" s="33">
        <v>989136.8</v>
      </c>
      <c r="R49" s="33">
        <v>5747.6</v>
      </c>
      <c r="S49" s="31">
        <f t="shared" si="9"/>
        <v>1027560.8</v>
      </c>
      <c r="T49" s="35">
        <f t="shared" si="10"/>
        <v>2265248.8000000007</v>
      </c>
      <c r="U49" s="31">
        <f t="shared" si="11"/>
        <v>2047964.1000000006</v>
      </c>
    </row>
    <row r="50" spans="1:22" s="37" customFormat="1" ht="15.75">
      <c r="A50" s="30">
        <v>43465</v>
      </c>
      <c r="B50" s="32">
        <v>-165217.1</v>
      </c>
      <c r="C50" s="32">
        <v>-37983.9</v>
      </c>
      <c r="D50" s="32" t="s">
        <v>2</v>
      </c>
      <c r="E50" s="31">
        <f t="shared" si="6"/>
        <v>-203201</v>
      </c>
      <c r="F50" s="32">
        <v>210409.1</v>
      </c>
      <c r="G50" s="32">
        <v>932439.20000000007</v>
      </c>
      <c r="H50" s="32"/>
      <c r="I50" s="32">
        <v>58884.2</v>
      </c>
      <c r="J50" s="32">
        <v>40405.800000000003</v>
      </c>
      <c r="K50" s="32">
        <v>521293.6</v>
      </c>
      <c r="L50" s="33">
        <f t="shared" si="7"/>
        <v>1763431.9</v>
      </c>
      <c r="M50" s="32">
        <v>353522.4</v>
      </c>
      <c r="N50" s="31">
        <v>72375.499999999985</v>
      </c>
      <c r="O50" s="33">
        <f t="shared" si="8"/>
        <v>1337534</v>
      </c>
      <c r="P50" s="38">
        <v>42063.6</v>
      </c>
      <c r="Q50" s="33">
        <v>983859.20000000019</v>
      </c>
      <c r="R50" s="33">
        <v>6028.8</v>
      </c>
      <c r="S50" s="31">
        <f t="shared" si="9"/>
        <v>1031951.6000000002</v>
      </c>
      <c r="T50" s="35">
        <f t="shared" si="10"/>
        <v>2369485.6</v>
      </c>
      <c r="U50" s="31">
        <f t="shared" si="11"/>
        <v>2166284.6</v>
      </c>
    </row>
    <row r="51" spans="1:22" s="37" customFormat="1" ht="15.75">
      <c r="A51" s="30">
        <v>43555</v>
      </c>
      <c r="B51" s="32">
        <v>-166782.39999999999</v>
      </c>
      <c r="C51" s="32">
        <v>-62620.70000000007</v>
      </c>
      <c r="D51" s="32" t="s">
        <v>2</v>
      </c>
      <c r="E51" s="31">
        <f t="shared" ref="E51:E58" si="12">+SUM(B51:D51)</f>
        <v>-229403.10000000006</v>
      </c>
      <c r="F51" s="32">
        <v>221728.4</v>
      </c>
      <c r="G51" s="32">
        <f>74137.1+941488.5+22035.7</f>
        <v>1037661.2999999999</v>
      </c>
      <c r="H51" s="32"/>
      <c r="I51" s="32">
        <v>66134.8</v>
      </c>
      <c r="J51" s="32">
        <v>36225.9</v>
      </c>
      <c r="K51" s="32">
        <v>518306</v>
      </c>
      <c r="L51" s="33">
        <f t="shared" ref="L51:L58" si="13">+SUM(F51:K51)</f>
        <v>1880056.4</v>
      </c>
      <c r="M51" s="32">
        <v>412450</v>
      </c>
      <c r="N51" s="31">
        <v>58269.8</v>
      </c>
      <c r="O51" s="33">
        <f t="shared" ref="O51:O58" si="14">+L51-M51-N51</f>
        <v>1409336.5999999999</v>
      </c>
      <c r="P51" s="38">
        <v>32296.6</v>
      </c>
      <c r="Q51" s="33">
        <v>1008148.3000000002</v>
      </c>
      <c r="R51" s="33">
        <v>6662.7</v>
      </c>
      <c r="S51" s="31">
        <f t="shared" ref="S51" si="15">SUM(P51:R51)</f>
        <v>1047107.6000000001</v>
      </c>
      <c r="T51" s="35">
        <f t="shared" ref="T51:T58" si="16">SUM(O51,S51)</f>
        <v>2456444.2000000002</v>
      </c>
      <c r="U51" s="31">
        <f t="shared" ref="U51:U58" si="17">SUM(E51,T51)</f>
        <v>2227041.1</v>
      </c>
    </row>
    <row r="52" spans="1:22" s="37" customFormat="1" ht="15.75">
      <c r="A52" s="30">
        <v>43646</v>
      </c>
      <c r="B52" s="32">
        <f>177153.1-298866.2</f>
        <v>-121713.1</v>
      </c>
      <c r="C52" s="32">
        <f>127120.2-199660</f>
        <v>-72539.8</v>
      </c>
      <c r="D52" s="32" t="s">
        <v>2</v>
      </c>
      <c r="E52" s="31">
        <f t="shared" si="12"/>
        <v>-194252.90000000002</v>
      </c>
      <c r="F52" s="32">
        <v>216009.2</v>
      </c>
      <c r="G52" s="32">
        <f>42174.9+1084518.3+16965</f>
        <v>1143658.2</v>
      </c>
      <c r="H52" s="32"/>
      <c r="I52" s="32">
        <v>59215</v>
      </c>
      <c r="J52" s="32">
        <v>32046</v>
      </c>
      <c r="K52" s="32">
        <v>514038.8</v>
      </c>
      <c r="L52" s="33">
        <f t="shared" si="13"/>
        <v>1964967.2</v>
      </c>
      <c r="M52" s="32">
        <v>427944.6</v>
      </c>
      <c r="N52" s="31">
        <v>62402.2</v>
      </c>
      <c r="O52" s="33">
        <f t="shared" si="14"/>
        <v>1474620.4000000001</v>
      </c>
      <c r="P52" s="38">
        <f>23367.3+101.6</f>
        <v>23468.899999999998</v>
      </c>
      <c r="Q52" s="33">
        <v>1073690.6000000001</v>
      </c>
      <c r="R52" s="33">
        <v>6546.1</v>
      </c>
      <c r="S52" s="31">
        <f t="shared" ref="S52:S58" si="18">SUM(P52:R52)</f>
        <v>1103705.6000000001</v>
      </c>
      <c r="T52" s="35">
        <f t="shared" si="16"/>
        <v>2578326</v>
      </c>
      <c r="U52" s="31">
        <f t="shared" si="17"/>
        <v>2384073.1</v>
      </c>
    </row>
    <row r="53" spans="1:22" s="37" customFormat="1" ht="18">
      <c r="A53" s="30" t="s">
        <v>66</v>
      </c>
      <c r="B53" s="32">
        <f>152229.3-295964.1</f>
        <v>-143734.79999999999</v>
      </c>
      <c r="C53" s="32">
        <f>139248.5-223096</f>
        <v>-83847.5</v>
      </c>
      <c r="D53" s="32" t="s">
        <v>2</v>
      </c>
      <c r="E53" s="31">
        <f t="shared" si="12"/>
        <v>-227582.3</v>
      </c>
      <c r="F53" s="32">
        <v>0</v>
      </c>
      <c r="G53" s="32">
        <f>52783.1+1160384.5+28225</f>
        <v>1241392.6000000001</v>
      </c>
      <c r="H53" s="32"/>
      <c r="I53" s="32">
        <v>66552.3</v>
      </c>
      <c r="J53" s="32">
        <v>29259.4</v>
      </c>
      <c r="K53" s="32">
        <v>727629.7</v>
      </c>
      <c r="L53" s="33">
        <f t="shared" si="13"/>
        <v>2064834</v>
      </c>
      <c r="M53" s="32">
        <v>478795.5</v>
      </c>
      <c r="N53" s="31">
        <v>82107.899999999994</v>
      </c>
      <c r="O53" s="33">
        <f t="shared" si="14"/>
        <v>1503930.6</v>
      </c>
      <c r="P53" s="38">
        <f>25516+101.6</f>
        <v>25617.599999999999</v>
      </c>
      <c r="Q53" s="33">
        <f>1098721+4652.3+44030.8</f>
        <v>1147404.1000000001</v>
      </c>
      <c r="R53" s="33">
        <v>6686.4</v>
      </c>
      <c r="S53" s="31">
        <f t="shared" si="18"/>
        <v>1179708.1000000001</v>
      </c>
      <c r="T53" s="35">
        <f t="shared" si="16"/>
        <v>2683638.7000000002</v>
      </c>
      <c r="U53" s="31">
        <f t="shared" si="17"/>
        <v>2456056.4000000004</v>
      </c>
    </row>
    <row r="54" spans="1:22" s="37" customFormat="1" ht="18">
      <c r="A54" s="30" t="s">
        <v>69</v>
      </c>
      <c r="B54" s="32">
        <v>-129390.7</v>
      </c>
      <c r="C54" s="32">
        <v>-76949.600000000006</v>
      </c>
      <c r="D54" s="32" t="s">
        <v>2</v>
      </c>
      <c r="E54" s="31">
        <f t="shared" si="12"/>
        <v>-206340.3</v>
      </c>
      <c r="F54" s="32">
        <v>0</v>
      </c>
      <c r="G54" s="32">
        <f>57683+1228622.8+55165.1</f>
        <v>1341470.9000000001</v>
      </c>
      <c r="H54" s="32"/>
      <c r="I54" s="32">
        <v>73356.899999999994</v>
      </c>
      <c r="J54" s="32">
        <v>23686.2</v>
      </c>
      <c r="K54" s="32">
        <v>722793.2</v>
      </c>
      <c r="L54" s="33">
        <f t="shared" si="13"/>
        <v>2161307.2000000002</v>
      </c>
      <c r="M54" s="32">
        <v>443910.5</v>
      </c>
      <c r="N54" s="31">
        <v>95938.2</v>
      </c>
      <c r="O54" s="33">
        <f t="shared" si="14"/>
        <v>1621458.5000000002</v>
      </c>
      <c r="P54" s="38">
        <f>42076.6+101.6</f>
        <v>42178.2</v>
      </c>
      <c r="Q54" s="33">
        <v>1165927.2000000002</v>
      </c>
      <c r="R54" s="33">
        <v>458.5</v>
      </c>
      <c r="S54" s="31">
        <f t="shared" si="18"/>
        <v>1208563.9000000001</v>
      </c>
      <c r="T54" s="35">
        <f t="shared" si="16"/>
        <v>2830022.4000000004</v>
      </c>
      <c r="U54" s="31">
        <f t="shared" si="17"/>
        <v>2623682.1000000006</v>
      </c>
    </row>
    <row r="55" spans="1:22" s="37" customFormat="1" ht="18">
      <c r="A55" s="30" t="s">
        <v>73</v>
      </c>
      <c r="B55" s="32">
        <f>194289.3-361308.8</f>
        <v>-167019.5</v>
      </c>
      <c r="C55" s="32">
        <f>143352.6-261170.6</f>
        <v>-117818</v>
      </c>
      <c r="D55" s="32" t="s">
        <v>2</v>
      </c>
      <c r="E55" s="31">
        <f t="shared" si="12"/>
        <v>-284837.5</v>
      </c>
      <c r="F55" s="32">
        <v>0</v>
      </c>
      <c r="G55" s="32">
        <f>51183+1270664.1+59841.5</f>
        <v>1381688.6</v>
      </c>
      <c r="H55" s="32"/>
      <c r="I55" s="32">
        <f>18507.3+103560.4</f>
        <v>122067.7</v>
      </c>
      <c r="J55" s="32">
        <v>19506.2</v>
      </c>
      <c r="K55" s="32">
        <v>719165.8</v>
      </c>
      <c r="L55" s="33">
        <f t="shared" si="13"/>
        <v>2242428.2999999998</v>
      </c>
      <c r="M55" s="32">
        <v>503862</v>
      </c>
      <c r="N55" s="31">
        <v>77027.199999999997</v>
      </c>
      <c r="O55" s="33">
        <f t="shared" si="14"/>
        <v>1661539.0999999999</v>
      </c>
      <c r="P55" s="38">
        <f>32138.3+101.6</f>
        <v>32239.899999999998</v>
      </c>
      <c r="Q55" s="33">
        <f>1159740.9+4846.3+47836</f>
        <v>1212423.2</v>
      </c>
      <c r="R55" s="33">
        <v>342.2</v>
      </c>
      <c r="S55" s="31">
        <f t="shared" si="18"/>
        <v>1245005.2999999998</v>
      </c>
      <c r="T55" s="35">
        <f t="shared" si="16"/>
        <v>2906544.3999999994</v>
      </c>
      <c r="U55" s="31">
        <f t="shared" si="17"/>
        <v>2621706.8999999994</v>
      </c>
    </row>
    <row r="56" spans="1:22" s="37" customFormat="1" ht="18">
      <c r="A56" s="30" t="s">
        <v>76</v>
      </c>
      <c r="B56" s="32">
        <f>172739-357357.6</f>
        <v>-184618.59999999998</v>
      </c>
      <c r="C56" s="32">
        <f>128564.4-277077.4</f>
        <v>-148513.00000000003</v>
      </c>
      <c r="D56" s="32" t="s">
        <v>2</v>
      </c>
      <c r="E56" s="31">
        <f t="shared" si="12"/>
        <v>-333131.59999999998</v>
      </c>
      <c r="F56" s="32">
        <v>0</v>
      </c>
      <c r="G56" s="32">
        <f>59283+1350702.5+59204.6</f>
        <v>1469190.1</v>
      </c>
      <c r="H56" s="32"/>
      <c r="I56" s="32">
        <f>18507.3+98487+5357.5</f>
        <v>122351.8</v>
      </c>
      <c r="J56" s="32">
        <v>15326.3</v>
      </c>
      <c r="K56" s="32">
        <v>715538.4</v>
      </c>
      <c r="L56" s="33">
        <f t="shared" si="13"/>
        <v>2322406.6</v>
      </c>
      <c r="M56" s="32">
        <v>441278.2</v>
      </c>
      <c r="N56" s="31">
        <v>86594.1</v>
      </c>
      <c r="O56" s="33">
        <f t="shared" si="14"/>
        <v>1794534.3</v>
      </c>
      <c r="P56" s="38">
        <f>29576.4+101.6</f>
        <v>29678</v>
      </c>
      <c r="Q56" s="33">
        <f>1231019.2+4928.8+46930.1</f>
        <v>1282878.1000000001</v>
      </c>
      <c r="R56" s="33">
        <v>328.2</v>
      </c>
      <c r="S56" s="31">
        <f t="shared" si="18"/>
        <v>1312884.3</v>
      </c>
      <c r="T56" s="35">
        <f t="shared" si="16"/>
        <v>3107418.6</v>
      </c>
      <c r="U56" s="31">
        <f t="shared" si="17"/>
        <v>2774287</v>
      </c>
    </row>
    <row r="57" spans="1:22" s="37" customFormat="1" ht="18">
      <c r="A57" s="30" t="s">
        <v>79</v>
      </c>
      <c r="B57" s="32">
        <f>201366-367286.4</f>
        <v>-165920.40000000002</v>
      </c>
      <c r="C57" s="32">
        <f>161360.7-289503.6</f>
        <v>-128142.89999999997</v>
      </c>
      <c r="D57" s="32" t="s">
        <v>2</v>
      </c>
      <c r="E57" s="31">
        <f t="shared" si="12"/>
        <v>-294063.3</v>
      </c>
      <c r="F57" s="32">
        <v>0</v>
      </c>
      <c r="G57" s="32">
        <f>55534+1425779.5+58564.4</f>
        <v>1539877.9</v>
      </c>
      <c r="H57" s="32"/>
      <c r="I57" s="32">
        <f>18507.3+25822.8+124981.5+150000</f>
        <v>319311.59999999998</v>
      </c>
      <c r="J57" s="32">
        <v>12539.7</v>
      </c>
      <c r="K57" s="32">
        <v>713120.2</v>
      </c>
      <c r="L57" s="33">
        <f t="shared" si="13"/>
        <v>2584849.4</v>
      </c>
      <c r="M57" s="32">
        <v>470251</v>
      </c>
      <c r="N57" s="31">
        <v>76753.3</v>
      </c>
      <c r="O57" s="33">
        <f t="shared" si="14"/>
        <v>2037845.0999999999</v>
      </c>
      <c r="P57" s="38">
        <f>30626.8+101.6</f>
        <v>30728.399999999998</v>
      </c>
      <c r="Q57" s="33">
        <f>1276436.4+20096+63444.5</f>
        <v>1359976.9</v>
      </c>
      <c r="R57" s="33">
        <v>311</v>
      </c>
      <c r="S57" s="31">
        <f t="shared" si="18"/>
        <v>1391016.2999999998</v>
      </c>
      <c r="T57" s="35">
        <f t="shared" si="16"/>
        <v>3428861.3999999994</v>
      </c>
      <c r="U57" s="31">
        <f t="shared" si="17"/>
        <v>3134798.0999999996</v>
      </c>
    </row>
    <row r="58" spans="1:22" s="37" customFormat="1" ht="18">
      <c r="A58" s="30" t="s">
        <v>84</v>
      </c>
      <c r="B58" s="32">
        <f>250872.7-371450.7</f>
        <v>-120578</v>
      </c>
      <c r="C58" s="32">
        <f>196181.1-306357.4</f>
        <v>-110176.30000000002</v>
      </c>
      <c r="D58" s="32" t="s">
        <v>2</v>
      </c>
      <c r="E58" s="31">
        <f t="shared" si="12"/>
        <v>-230754.30000000002</v>
      </c>
      <c r="F58" s="32">
        <v>0</v>
      </c>
      <c r="G58" s="32">
        <f>90484+1457459.4+67289</f>
        <v>1615232.4</v>
      </c>
      <c r="H58" s="32"/>
      <c r="I58" s="32">
        <f>18507.3+27463+120782.7+150000+2000</f>
        <v>318753</v>
      </c>
      <c r="J58" s="32">
        <v>6921.2</v>
      </c>
      <c r="K58" s="32">
        <v>708283.6</v>
      </c>
      <c r="L58" s="33">
        <f t="shared" si="13"/>
        <v>2649190.1999999997</v>
      </c>
      <c r="M58" s="32">
        <v>521180.9</v>
      </c>
      <c r="N58" s="31">
        <v>72918.899999999994</v>
      </c>
      <c r="O58" s="33">
        <f t="shared" si="14"/>
        <v>2055090.4</v>
      </c>
      <c r="P58" s="38">
        <f>22343.7+101.6</f>
        <v>22445.3</v>
      </c>
      <c r="Q58" s="33">
        <f>1313193.9+29327.2+59346.6</f>
        <v>1401867.7</v>
      </c>
      <c r="R58" s="33">
        <v>1185.1999999999998</v>
      </c>
      <c r="S58" s="31">
        <f t="shared" si="18"/>
        <v>1425498.2</v>
      </c>
      <c r="T58" s="35">
        <f t="shared" si="16"/>
        <v>3480588.5999999996</v>
      </c>
      <c r="U58" s="31">
        <f t="shared" si="17"/>
        <v>3249834.3</v>
      </c>
    </row>
    <row r="59" spans="1:22" s="37" customFormat="1" ht="15.75">
      <c r="A59" s="47" t="s">
        <v>45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9"/>
      <c r="V59" s="36"/>
    </row>
    <row r="60" spans="1:22" s="37" customFormat="1" ht="15.75">
      <c r="A60" s="50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2"/>
      <c r="V60" s="36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59:U60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V21"/>
  <sheetViews>
    <sheetView workbookViewId="0">
      <pane xSplit="1" ySplit="6" topLeftCell="T13" activePane="bottomRight" state="frozen"/>
      <selection pane="topRight" activeCell="B1" sqref="B1"/>
      <selection pane="bottomLeft" activeCell="A7" sqref="A7"/>
      <selection pane="bottomRight" activeCell="X19" sqref="X19"/>
    </sheetView>
  </sheetViews>
  <sheetFormatPr baseColWidth="10" defaultColWidth="11.5546875" defaultRowHeight="18.75"/>
  <cols>
    <col min="1" max="1" width="23" style="1" customWidth="1"/>
    <col min="2" max="2" width="10.44140625" style="1" bestFit="1" customWidth="1"/>
    <col min="3" max="3" width="22.77734375" style="1" bestFit="1" customWidth="1"/>
    <col min="4" max="4" width="11.6640625" style="1" bestFit="1" customWidth="1"/>
    <col min="5" max="5" width="23.6640625" style="1" bestFit="1" customWidth="1"/>
    <col min="6" max="6" width="21.5546875" style="1" bestFit="1" customWidth="1"/>
    <col min="7" max="10" width="11.6640625" style="1" bestFit="1" customWidth="1"/>
    <col min="11" max="11" width="13.77734375" style="1" bestFit="1" customWidth="1"/>
    <col min="12" max="12" width="31.109375" style="1" bestFit="1" customWidth="1"/>
    <col min="13" max="13" width="29.77734375" style="1" bestFit="1" customWidth="1"/>
    <col min="14" max="14" width="23.6640625" style="1" bestFit="1" customWidth="1"/>
    <col min="15" max="15" width="50.5546875" style="1" bestFit="1" customWidth="1"/>
    <col min="16" max="16" width="31.77734375" style="1" bestFit="1" customWidth="1"/>
    <col min="17" max="17" width="11.6640625" style="1" bestFit="1" customWidth="1"/>
    <col min="18" max="18" width="22.5546875" style="1" bestFit="1" customWidth="1"/>
    <col min="19" max="20" width="11.6640625" style="1" bestFit="1" customWidth="1"/>
    <col min="21" max="16384" width="11.5546875" style="1"/>
  </cols>
  <sheetData>
    <row r="1" spans="1:22">
      <c r="A1" s="16" t="s">
        <v>23</v>
      </c>
      <c r="T1" s="21" t="s">
        <v>62</v>
      </c>
    </row>
    <row r="2" spans="1:22" s="2" customFormat="1">
      <c r="E2" s="43" t="s">
        <v>55</v>
      </c>
      <c r="F2" s="43"/>
      <c r="G2" s="43"/>
      <c r="T2" s="21"/>
      <c r="U2" s="21"/>
    </row>
    <row r="3" spans="1:22" s="2" customFormat="1" ht="21" customHeight="1">
      <c r="T3" s="21"/>
      <c r="U3" s="21"/>
    </row>
    <row r="4" spans="1:22" s="24" customFormat="1" ht="15.75" customHeight="1">
      <c r="A4" s="64" t="s">
        <v>46</v>
      </c>
      <c r="B4" s="58" t="s">
        <v>3</v>
      </c>
      <c r="C4" s="59"/>
      <c r="D4" s="59"/>
      <c r="E4" s="60"/>
      <c r="F4" s="44" t="s">
        <v>4</v>
      </c>
      <c r="G4" s="45"/>
      <c r="H4" s="45"/>
      <c r="I4" s="45"/>
      <c r="J4" s="45"/>
      <c r="K4" s="45"/>
      <c r="L4" s="45"/>
      <c r="M4" s="45"/>
      <c r="N4" s="45"/>
      <c r="O4" s="46"/>
      <c r="P4" s="44"/>
      <c r="Q4" s="45"/>
      <c r="R4" s="45"/>
      <c r="S4" s="45"/>
      <c r="T4" s="45"/>
      <c r="U4" s="55" t="s">
        <v>21</v>
      </c>
      <c r="V4" s="23"/>
    </row>
    <row r="5" spans="1:22" s="24" customFormat="1" ht="18">
      <c r="A5" s="65"/>
      <c r="B5" s="61"/>
      <c r="C5" s="62"/>
      <c r="D5" s="62"/>
      <c r="E5" s="63"/>
      <c r="F5" s="44" t="s">
        <v>22</v>
      </c>
      <c r="G5" s="45"/>
      <c r="H5" s="45"/>
      <c r="I5" s="45"/>
      <c r="J5" s="45"/>
      <c r="K5" s="45"/>
      <c r="L5" s="45"/>
      <c r="M5" s="45"/>
      <c r="N5" s="45"/>
      <c r="O5" s="46"/>
      <c r="P5" s="44" t="s">
        <v>7</v>
      </c>
      <c r="Q5" s="45"/>
      <c r="R5" s="45"/>
      <c r="S5" s="45"/>
      <c r="T5" s="53" t="s">
        <v>0</v>
      </c>
      <c r="U5" s="56"/>
      <c r="V5" s="25"/>
    </row>
    <row r="6" spans="1:22" s="24" customFormat="1" ht="90">
      <c r="A6" s="66"/>
      <c r="B6" s="27" t="s">
        <v>57</v>
      </c>
      <c r="C6" s="28" t="s">
        <v>47</v>
      </c>
      <c r="D6" s="28" t="s">
        <v>63</v>
      </c>
      <c r="E6" s="28" t="s">
        <v>0</v>
      </c>
      <c r="F6" s="27" t="s">
        <v>1</v>
      </c>
      <c r="G6" s="28" t="s">
        <v>48</v>
      </c>
      <c r="H6" s="28" t="s">
        <v>11</v>
      </c>
      <c r="I6" s="28" t="s">
        <v>49</v>
      </c>
      <c r="J6" s="28" t="s">
        <v>50</v>
      </c>
      <c r="K6" s="28" t="s">
        <v>14</v>
      </c>
      <c r="L6" s="28" t="s">
        <v>15</v>
      </c>
      <c r="M6" s="28" t="s">
        <v>51</v>
      </c>
      <c r="N6" s="28" t="s">
        <v>52</v>
      </c>
      <c r="O6" s="28" t="s">
        <v>0</v>
      </c>
      <c r="P6" s="28" t="s">
        <v>53</v>
      </c>
      <c r="Q6" s="28" t="s">
        <v>16</v>
      </c>
      <c r="R6" s="28" t="s">
        <v>54</v>
      </c>
      <c r="S6" s="29" t="s">
        <v>0</v>
      </c>
      <c r="T6" s="54"/>
      <c r="U6" s="57"/>
      <c r="V6" s="26"/>
    </row>
    <row r="7" spans="1:22" s="37" customFormat="1" ht="15.75">
      <c r="A7" s="39">
        <v>2008</v>
      </c>
      <c r="B7" s="31">
        <v>159092.20000000007</v>
      </c>
      <c r="C7" s="31">
        <v>95759.5</v>
      </c>
      <c r="D7" s="31"/>
      <c r="E7" s="31">
        <f t="shared" ref="E7:E15" si="0">SUM(B7:D7)</f>
        <v>254851.70000000007</v>
      </c>
      <c r="F7" s="31">
        <v>170798.9</v>
      </c>
      <c r="G7" s="31">
        <v>58561</v>
      </c>
      <c r="H7" s="31" t="s">
        <v>2</v>
      </c>
      <c r="I7" s="31">
        <v>9544.5</v>
      </c>
      <c r="J7" s="32" t="s">
        <v>2</v>
      </c>
      <c r="K7" s="32" t="s">
        <v>2</v>
      </c>
      <c r="L7" s="33">
        <f t="shared" ref="L7:L15" si="1">SUM(F7:K7)</f>
        <v>238904.4</v>
      </c>
      <c r="M7" s="34">
        <v>125831.59999999999</v>
      </c>
      <c r="N7" s="31">
        <v>11736.2</v>
      </c>
      <c r="O7" s="33">
        <f t="shared" ref="O7:O15" si="2">L7-M7-N7</f>
        <v>101336.6</v>
      </c>
      <c r="P7" s="31">
        <v>21927.199999999997</v>
      </c>
      <c r="Q7" s="31">
        <v>261749.50000000003</v>
      </c>
      <c r="R7" s="33">
        <v>120.8</v>
      </c>
      <c r="S7" s="31">
        <f t="shared" ref="S7:S15" si="3">SUM(P7:R7)</f>
        <v>283797.5</v>
      </c>
      <c r="T7" s="35">
        <f t="shared" ref="T7:T15" si="4">S7+O7</f>
        <v>385134.1</v>
      </c>
      <c r="U7" s="31">
        <f t="shared" ref="U7:U15" si="5">T7+E7</f>
        <v>639985.80000000005</v>
      </c>
      <c r="V7" s="36"/>
    </row>
    <row r="8" spans="1:22" s="37" customFormat="1" ht="15.75">
      <c r="A8" s="39">
        <v>2009</v>
      </c>
      <c r="B8" s="31">
        <v>144966.20000000007</v>
      </c>
      <c r="C8" s="31">
        <v>119531.40000000002</v>
      </c>
      <c r="D8" s="31"/>
      <c r="E8" s="31">
        <f t="shared" si="0"/>
        <v>264497.60000000009</v>
      </c>
      <c r="F8" s="31">
        <v>215622.30000000002</v>
      </c>
      <c r="G8" s="31">
        <v>100072.8</v>
      </c>
      <c r="H8" s="31" t="s">
        <v>2</v>
      </c>
      <c r="I8" s="31">
        <v>11255.3</v>
      </c>
      <c r="J8" s="32" t="s">
        <v>2</v>
      </c>
      <c r="K8" s="32" t="s">
        <v>2</v>
      </c>
      <c r="L8" s="33">
        <f t="shared" si="1"/>
        <v>326950.40000000002</v>
      </c>
      <c r="M8" s="34">
        <v>133925.09999999998</v>
      </c>
      <c r="N8" s="31">
        <v>14842.5</v>
      </c>
      <c r="O8" s="33">
        <f t="shared" si="2"/>
        <v>178182.80000000005</v>
      </c>
      <c r="P8" s="31">
        <v>8440.7000000000007</v>
      </c>
      <c r="Q8" s="31">
        <v>321233.5</v>
      </c>
      <c r="R8" s="33">
        <v>497.1</v>
      </c>
      <c r="S8" s="31">
        <f t="shared" si="3"/>
        <v>330171.3</v>
      </c>
      <c r="T8" s="35">
        <f t="shared" si="4"/>
        <v>508354.10000000003</v>
      </c>
      <c r="U8" s="31">
        <f t="shared" si="5"/>
        <v>772851.70000000019</v>
      </c>
      <c r="V8" s="36"/>
    </row>
    <row r="9" spans="1:22" s="37" customFormat="1" ht="15.75">
      <c r="A9" s="39">
        <v>2010</v>
      </c>
      <c r="B9" s="31">
        <v>141613.59999999998</v>
      </c>
      <c r="C9" s="31">
        <v>112437.40000000001</v>
      </c>
      <c r="D9" s="31"/>
      <c r="E9" s="31">
        <f t="shared" si="0"/>
        <v>254051</v>
      </c>
      <c r="F9" s="31">
        <v>19134.2</v>
      </c>
      <c r="G9" s="31">
        <v>109104.5</v>
      </c>
      <c r="H9" s="31" t="s">
        <v>2</v>
      </c>
      <c r="I9" s="31">
        <v>14177.3</v>
      </c>
      <c r="J9" s="31">
        <v>88925</v>
      </c>
      <c r="K9" s="31">
        <v>145130.9</v>
      </c>
      <c r="L9" s="33">
        <f t="shared" si="1"/>
        <v>376471.9</v>
      </c>
      <c r="M9" s="34">
        <v>154442.40000000002</v>
      </c>
      <c r="N9" s="31">
        <v>11748.2</v>
      </c>
      <c r="O9" s="33">
        <f t="shared" si="2"/>
        <v>210281.3</v>
      </c>
      <c r="P9" s="31">
        <v>8682.2000000000007</v>
      </c>
      <c r="Q9" s="31">
        <v>460562.3</v>
      </c>
      <c r="R9" s="33">
        <v>599.4</v>
      </c>
      <c r="S9" s="31">
        <f t="shared" si="3"/>
        <v>469843.9</v>
      </c>
      <c r="T9" s="35">
        <f t="shared" si="4"/>
        <v>680125.2</v>
      </c>
      <c r="U9" s="31">
        <f t="shared" si="5"/>
        <v>934176.2</v>
      </c>
      <c r="V9" s="36"/>
    </row>
    <row r="10" spans="1:22" s="37" customFormat="1" ht="15.75">
      <c r="A10" s="39">
        <v>2011</v>
      </c>
      <c r="B10" s="31">
        <v>82293.999999999942</v>
      </c>
      <c r="C10" s="31">
        <v>123231.6</v>
      </c>
      <c r="D10" s="31"/>
      <c r="E10" s="31">
        <f t="shared" si="0"/>
        <v>205525.59999999995</v>
      </c>
      <c r="F10" s="31">
        <v>86260.6</v>
      </c>
      <c r="G10" s="31">
        <v>84484.4</v>
      </c>
      <c r="H10" s="31" t="s">
        <v>2</v>
      </c>
      <c r="I10" s="31">
        <v>14746.9</v>
      </c>
      <c r="J10" s="31">
        <v>94325</v>
      </c>
      <c r="K10" s="31">
        <v>141433.29999999999</v>
      </c>
      <c r="L10" s="33">
        <f t="shared" si="1"/>
        <v>421250.2</v>
      </c>
      <c r="M10" s="34">
        <v>175708.5</v>
      </c>
      <c r="N10" s="31">
        <v>14154.1</v>
      </c>
      <c r="O10" s="33">
        <f t="shared" si="2"/>
        <v>231387.6</v>
      </c>
      <c r="P10" s="31">
        <v>4009.9000000000005</v>
      </c>
      <c r="Q10" s="31">
        <v>612267</v>
      </c>
      <c r="R10" s="33">
        <v>1021.9000000000001</v>
      </c>
      <c r="S10" s="31">
        <f t="shared" si="3"/>
        <v>617298.80000000005</v>
      </c>
      <c r="T10" s="35">
        <f t="shared" si="4"/>
        <v>848686.4</v>
      </c>
      <c r="U10" s="31">
        <f t="shared" si="5"/>
        <v>1054212</v>
      </c>
      <c r="V10" s="36"/>
    </row>
    <row r="11" spans="1:22" s="37" customFormat="1" ht="15.75">
      <c r="A11" s="39">
        <v>2012</v>
      </c>
      <c r="B11" s="31">
        <v>66928.900000000023</v>
      </c>
      <c r="C11" s="31">
        <v>129708.8</v>
      </c>
      <c r="D11" s="31"/>
      <c r="E11" s="31">
        <f t="shared" si="0"/>
        <v>196637.7</v>
      </c>
      <c r="F11" s="31">
        <v>155251.9</v>
      </c>
      <c r="G11" s="31">
        <v>49024.3</v>
      </c>
      <c r="H11" s="31"/>
      <c r="I11" s="31">
        <v>17982.599999999999</v>
      </c>
      <c r="J11" s="31">
        <v>117037.4</v>
      </c>
      <c r="K11" s="31">
        <v>137735.70000000001</v>
      </c>
      <c r="L11" s="33">
        <f t="shared" si="1"/>
        <v>477031.9</v>
      </c>
      <c r="M11" s="34">
        <v>182803.7</v>
      </c>
      <c r="N11" s="31">
        <v>18296</v>
      </c>
      <c r="O11" s="33">
        <f t="shared" si="2"/>
        <v>275932.2</v>
      </c>
      <c r="P11" s="31">
        <v>24157.200000000001</v>
      </c>
      <c r="Q11" s="31">
        <v>683891.70000000007</v>
      </c>
      <c r="R11" s="33">
        <v>1057.9000000000001</v>
      </c>
      <c r="S11" s="31">
        <f t="shared" si="3"/>
        <v>709106.8</v>
      </c>
      <c r="T11" s="35">
        <f t="shared" si="4"/>
        <v>985039</v>
      </c>
      <c r="U11" s="31">
        <f t="shared" si="5"/>
        <v>1181676.7</v>
      </c>
      <c r="V11" s="36"/>
    </row>
    <row r="12" spans="1:22" s="37" customFormat="1" ht="15.75">
      <c r="A12" s="39">
        <v>2013</v>
      </c>
      <c r="B12" s="31">
        <v>118133.79999999993</v>
      </c>
      <c r="C12" s="31">
        <v>111622.29999999997</v>
      </c>
      <c r="D12" s="31">
        <v>-97.2</v>
      </c>
      <c r="E12" s="31">
        <f t="shared" si="0"/>
        <v>229658.89999999991</v>
      </c>
      <c r="F12" s="32" t="s">
        <v>2</v>
      </c>
      <c r="G12" s="31">
        <v>109019.90000000001</v>
      </c>
      <c r="H12" s="31"/>
      <c r="I12" s="31">
        <v>18506.300000000003</v>
      </c>
      <c r="J12" s="31">
        <v>107284.3</v>
      </c>
      <c r="K12" s="31">
        <v>289290</v>
      </c>
      <c r="L12" s="33">
        <f t="shared" si="1"/>
        <v>524100.5</v>
      </c>
      <c r="M12" s="34">
        <v>227012.90000000002</v>
      </c>
      <c r="N12" s="31">
        <v>23790.1</v>
      </c>
      <c r="O12" s="33">
        <f t="shared" si="2"/>
        <v>273297.5</v>
      </c>
      <c r="P12" s="31">
        <v>36129.5</v>
      </c>
      <c r="Q12" s="31">
        <v>743181.20000000019</v>
      </c>
      <c r="R12" s="33">
        <v>2469.1999999999998</v>
      </c>
      <c r="S12" s="31">
        <f t="shared" si="3"/>
        <v>781779.90000000014</v>
      </c>
      <c r="T12" s="35">
        <f t="shared" si="4"/>
        <v>1055077.4000000001</v>
      </c>
      <c r="U12" s="31">
        <f t="shared" si="5"/>
        <v>1284736.3</v>
      </c>
      <c r="V12" s="36"/>
    </row>
    <row r="13" spans="1:22" s="37" customFormat="1" ht="15.75">
      <c r="A13" s="39">
        <v>2014</v>
      </c>
      <c r="B13" s="38">
        <v>128675.89999999997</v>
      </c>
      <c r="C13" s="38">
        <v>51849.400000000023</v>
      </c>
      <c r="D13" s="38">
        <v>-48.6</v>
      </c>
      <c r="E13" s="31">
        <f t="shared" si="0"/>
        <v>180476.69999999998</v>
      </c>
      <c r="F13" s="32">
        <v>55186.9</v>
      </c>
      <c r="G13" s="38">
        <v>147702.70000000001</v>
      </c>
      <c r="H13" s="31"/>
      <c r="I13" s="31">
        <v>49269.8</v>
      </c>
      <c r="J13" s="31">
        <v>106976.2</v>
      </c>
      <c r="K13" s="31">
        <v>285900.5</v>
      </c>
      <c r="L13" s="33">
        <f t="shared" si="1"/>
        <v>645036.10000000009</v>
      </c>
      <c r="M13" s="34">
        <v>238856.59999999998</v>
      </c>
      <c r="N13" s="31">
        <v>23004.400000000001</v>
      </c>
      <c r="O13" s="33">
        <f t="shared" si="2"/>
        <v>383175.10000000009</v>
      </c>
      <c r="P13" s="38">
        <v>40818.700000000004</v>
      </c>
      <c r="Q13" s="38">
        <v>814694.39999999991</v>
      </c>
      <c r="R13" s="33">
        <v>3449.2999999999997</v>
      </c>
      <c r="S13" s="31">
        <f t="shared" si="3"/>
        <v>858962.39999999991</v>
      </c>
      <c r="T13" s="35">
        <f t="shared" si="4"/>
        <v>1242137.5</v>
      </c>
      <c r="U13" s="31">
        <f t="shared" si="5"/>
        <v>1422614.2</v>
      </c>
      <c r="V13" s="36"/>
    </row>
    <row r="14" spans="1:22" s="37" customFormat="1" ht="15.75">
      <c r="A14" s="39">
        <v>2015</v>
      </c>
      <c r="B14" s="32">
        <v>-132985.60000000001</v>
      </c>
      <c r="C14" s="32">
        <v>57115.499999999971</v>
      </c>
      <c r="D14" s="32" t="s">
        <v>2</v>
      </c>
      <c r="E14" s="31">
        <f t="shared" si="0"/>
        <v>-75870.100000000035</v>
      </c>
      <c r="F14" s="32">
        <v>273246</v>
      </c>
      <c r="G14" s="32">
        <v>254809.2</v>
      </c>
      <c r="H14" s="32"/>
      <c r="I14" s="31">
        <v>50054.3</v>
      </c>
      <c r="J14" s="32">
        <v>90564.7</v>
      </c>
      <c r="K14" s="32">
        <v>277913.90000000002</v>
      </c>
      <c r="L14" s="33">
        <f t="shared" si="1"/>
        <v>946588.1</v>
      </c>
      <c r="M14" s="32">
        <v>233455.5</v>
      </c>
      <c r="N14" s="31">
        <v>26275.999999999996</v>
      </c>
      <c r="O14" s="33">
        <f t="shared" si="2"/>
        <v>686856.6</v>
      </c>
      <c r="P14" s="38">
        <v>6532.0999999999995</v>
      </c>
      <c r="Q14" s="33">
        <v>812972</v>
      </c>
      <c r="R14" s="33">
        <v>27.1</v>
      </c>
      <c r="S14" s="31">
        <f t="shared" si="3"/>
        <v>819531.2</v>
      </c>
      <c r="T14" s="35">
        <f t="shared" si="4"/>
        <v>1506387.7999999998</v>
      </c>
      <c r="U14" s="31">
        <f t="shared" si="5"/>
        <v>1430517.6999999997</v>
      </c>
      <c r="V14" s="36"/>
    </row>
    <row r="15" spans="1:22" s="37" customFormat="1" ht="15.75">
      <c r="A15" s="39">
        <v>2016</v>
      </c>
      <c r="B15" s="32">
        <v>-162073.80000000002</v>
      </c>
      <c r="C15" s="32">
        <v>-14449.299999999974</v>
      </c>
      <c r="D15" s="32" t="s">
        <v>2</v>
      </c>
      <c r="E15" s="31">
        <f t="shared" si="0"/>
        <v>-176523.09999999998</v>
      </c>
      <c r="F15" s="32">
        <v>134973.1</v>
      </c>
      <c r="G15" s="32">
        <v>438079.6</v>
      </c>
      <c r="H15" s="32"/>
      <c r="I15" s="31">
        <v>37133.1</v>
      </c>
      <c r="J15" s="32">
        <v>73845.100000000006</v>
      </c>
      <c r="K15" s="32">
        <v>543481.59999999998</v>
      </c>
      <c r="L15" s="33">
        <f t="shared" si="1"/>
        <v>1227512.5</v>
      </c>
      <c r="M15" s="32">
        <v>291260.3</v>
      </c>
      <c r="N15" s="31">
        <v>30394.800000000003</v>
      </c>
      <c r="O15" s="33">
        <f t="shared" si="2"/>
        <v>905857.39999999991</v>
      </c>
      <c r="P15" s="38">
        <v>7173.4000000000005</v>
      </c>
      <c r="Q15" s="33">
        <v>854034</v>
      </c>
      <c r="R15" s="33">
        <v>57.6</v>
      </c>
      <c r="S15" s="31">
        <f t="shared" si="3"/>
        <v>861265</v>
      </c>
      <c r="T15" s="35">
        <f t="shared" si="4"/>
        <v>1767122.4</v>
      </c>
      <c r="U15" s="31">
        <f t="shared" si="5"/>
        <v>1590599.2999999998</v>
      </c>
      <c r="V15" s="36"/>
    </row>
    <row r="16" spans="1:22" s="37" customFormat="1" ht="15.75">
      <c r="A16" s="39">
        <v>2017</v>
      </c>
      <c r="B16" s="32">
        <v>-144480.39999999997</v>
      </c>
      <c r="C16" s="32">
        <f>146133-156052.6</f>
        <v>-9919.6000000000058</v>
      </c>
      <c r="D16" s="32" t="s">
        <v>2</v>
      </c>
      <c r="E16" s="31">
        <f t="shared" ref="E16" si="6">+SUM(B16:D16)</f>
        <v>-154399.99999999997</v>
      </c>
      <c r="F16" s="32">
        <v>194279.4</v>
      </c>
      <c r="G16" s="32">
        <f>459750.2+183740.4</f>
        <v>643490.6</v>
      </c>
      <c r="H16" s="32"/>
      <c r="I16" s="31">
        <v>30924.9</v>
      </c>
      <c r="J16" s="32">
        <v>57125.4</v>
      </c>
      <c r="K16" s="32">
        <v>535803.19999999995</v>
      </c>
      <c r="L16" s="33">
        <f t="shared" ref="L16" si="7">+SUM(F16:K16)</f>
        <v>1461623.5</v>
      </c>
      <c r="M16" s="32">
        <v>300060.10000000009</v>
      </c>
      <c r="N16" s="31">
        <v>49349</v>
      </c>
      <c r="O16" s="33">
        <f t="shared" ref="O16:O19" si="8">+L16-M16-N16</f>
        <v>1112214.3999999999</v>
      </c>
      <c r="P16" s="38">
        <f>28633.1+129.8</f>
        <v>28762.899999999998</v>
      </c>
      <c r="Q16" s="33">
        <f>39736.1+3557.9+815757.5</f>
        <v>859051.5</v>
      </c>
      <c r="R16" s="33">
        <v>4937.3999999999996</v>
      </c>
      <c r="S16" s="31">
        <f>SUM(P16:R16)</f>
        <v>892751.8</v>
      </c>
      <c r="T16" s="35">
        <f>SUM(O16,S16)</f>
        <v>2004966.2</v>
      </c>
      <c r="U16" s="31">
        <f>SUM(E16,T16)</f>
        <v>1850566.2</v>
      </c>
      <c r="V16" s="36"/>
    </row>
    <row r="17" spans="1:22" s="37" customFormat="1" ht="15.75">
      <c r="A17" s="39">
        <v>2018</v>
      </c>
      <c r="B17" s="32">
        <v>-165217.1</v>
      </c>
      <c r="C17" s="32">
        <v>-37983.9</v>
      </c>
      <c r="D17" s="32" t="s">
        <v>2</v>
      </c>
      <c r="E17" s="31">
        <f t="shared" ref="E17" si="9">+SUM(B17:D17)</f>
        <v>-203201</v>
      </c>
      <c r="F17" s="32">
        <v>210409.1</v>
      </c>
      <c r="G17" s="32">
        <v>932439.20000000007</v>
      </c>
      <c r="H17" s="32"/>
      <c r="I17" s="31">
        <v>58884.2</v>
      </c>
      <c r="J17" s="32">
        <v>40405.800000000003</v>
      </c>
      <c r="K17" s="32">
        <v>521293.6</v>
      </c>
      <c r="L17" s="33">
        <f t="shared" ref="L17" si="10">+SUM(F17:K17)</f>
        <v>1763431.9</v>
      </c>
      <c r="M17" s="32">
        <v>353522.4</v>
      </c>
      <c r="N17" s="31">
        <v>72375.499999999985</v>
      </c>
      <c r="O17" s="33">
        <f t="shared" si="8"/>
        <v>1337534</v>
      </c>
      <c r="P17" s="38">
        <v>42063.6</v>
      </c>
      <c r="Q17" s="33">
        <v>983859.19999999995</v>
      </c>
      <c r="R17" s="33">
        <v>6028.8</v>
      </c>
      <c r="S17" s="31">
        <f t="shared" ref="S17" si="11">SUM(P17:R17)</f>
        <v>1031951.6</v>
      </c>
      <c r="T17" s="35">
        <f>SUM(O17,S17)</f>
        <v>2369485.6</v>
      </c>
      <c r="U17" s="31">
        <f>SUM(E17,T17)</f>
        <v>2166284.6</v>
      </c>
      <c r="V17" s="36"/>
    </row>
    <row r="18" spans="1:22" s="37" customFormat="1" ht="18">
      <c r="A18" s="39" t="s">
        <v>71</v>
      </c>
      <c r="B18" s="32">
        <v>-129390.7</v>
      </c>
      <c r="C18" s="32">
        <v>-76949.600000000006</v>
      </c>
      <c r="D18" s="32" t="s">
        <v>2</v>
      </c>
      <c r="E18" s="31">
        <f t="shared" ref="E18" si="12">+SUM(B18:D18)</f>
        <v>-206340.3</v>
      </c>
      <c r="F18" s="32">
        <v>0</v>
      </c>
      <c r="G18" s="32">
        <f>57683+1228622.8+55165.1</f>
        <v>1341470.9000000001</v>
      </c>
      <c r="H18" s="32"/>
      <c r="I18" s="32">
        <v>73356.899999999994</v>
      </c>
      <c r="J18" s="32">
        <v>23686.2</v>
      </c>
      <c r="K18" s="32">
        <v>722793.2</v>
      </c>
      <c r="L18" s="33">
        <f t="shared" ref="L18" si="13">+SUM(F18:K18)</f>
        <v>2161307.2000000002</v>
      </c>
      <c r="M18" s="32">
        <v>443910.5</v>
      </c>
      <c r="N18" s="31">
        <v>95938.2</v>
      </c>
      <c r="O18" s="33">
        <f t="shared" si="8"/>
        <v>1621458.5000000002</v>
      </c>
      <c r="P18" s="38">
        <f>42076.6+101.6</f>
        <v>42178.2</v>
      </c>
      <c r="Q18" s="33">
        <v>1165927.2000000002</v>
      </c>
      <c r="R18" s="33">
        <v>458.5</v>
      </c>
      <c r="S18" s="31">
        <f t="shared" ref="S18" si="14">SUM(P18:R18)</f>
        <v>1208563.9000000001</v>
      </c>
      <c r="T18" s="35">
        <f t="shared" ref="T18:T19" si="15">SUM(O18,S18)</f>
        <v>2830022.4000000004</v>
      </c>
      <c r="U18" s="31">
        <f t="shared" ref="U18:U19" si="16">SUM(E18,T18)</f>
        <v>2623682.1000000006</v>
      </c>
    </row>
    <row r="19" spans="1:22" s="37" customFormat="1" ht="18">
      <c r="A19" s="39" t="s">
        <v>85</v>
      </c>
      <c r="B19" s="32">
        <f>250872.7-371450.7</f>
        <v>-120578</v>
      </c>
      <c r="C19" s="32">
        <f>196181.1-306357.4</f>
        <v>-110176.30000000002</v>
      </c>
      <c r="D19" s="32" t="s">
        <v>2</v>
      </c>
      <c r="E19" s="31">
        <f t="shared" ref="E19" si="17">+SUM(B19:D19)</f>
        <v>-230754.30000000002</v>
      </c>
      <c r="F19" s="32">
        <v>0</v>
      </c>
      <c r="G19" s="32">
        <f>90484+1457459.4+67289</f>
        <v>1615232.4</v>
      </c>
      <c r="H19" s="32"/>
      <c r="I19" s="32">
        <f>18507.3+27463+120782.7+150000+2000</f>
        <v>318753</v>
      </c>
      <c r="J19" s="32">
        <v>6921.2</v>
      </c>
      <c r="K19" s="32">
        <v>708283.6</v>
      </c>
      <c r="L19" s="33">
        <f t="shared" ref="L19" si="18">+SUM(F19:K19)</f>
        <v>2649190.1999999997</v>
      </c>
      <c r="M19" s="32">
        <v>521180.9</v>
      </c>
      <c r="N19" s="31">
        <v>72918.899999999994</v>
      </c>
      <c r="O19" s="33">
        <f t="shared" si="8"/>
        <v>2055090.4</v>
      </c>
      <c r="P19" s="38">
        <f>22343.7+101.6</f>
        <v>22445.3</v>
      </c>
      <c r="Q19" s="33">
        <f>1313193.9+29327.2+59346.6</f>
        <v>1401867.7</v>
      </c>
      <c r="R19" s="33">
        <v>1185.1999999999998</v>
      </c>
      <c r="S19" s="31">
        <f t="shared" ref="S19" si="19">SUM(P19:R19)</f>
        <v>1425498.2</v>
      </c>
      <c r="T19" s="35">
        <f t="shared" si="15"/>
        <v>3480588.5999999996</v>
      </c>
      <c r="U19" s="31">
        <f t="shared" si="16"/>
        <v>3249834.3</v>
      </c>
    </row>
    <row r="20" spans="1:22" s="37" customFormat="1" ht="15.75">
      <c r="A20" s="47" t="s">
        <v>45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9"/>
      <c r="V20" s="36"/>
    </row>
    <row r="21" spans="1:22" s="37" customFormat="1" ht="15.75">
      <c r="A21" s="50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/>
      <c r="V21" s="36"/>
    </row>
  </sheetData>
  <mergeCells count="10">
    <mergeCell ref="E2:G2"/>
    <mergeCell ref="A4:A6"/>
    <mergeCell ref="B4:E5"/>
    <mergeCell ref="F4:O4"/>
    <mergeCell ref="P4:T4"/>
    <mergeCell ref="U4:U6"/>
    <mergeCell ref="F5:O5"/>
    <mergeCell ref="P5:S5"/>
    <mergeCell ref="T5:T6"/>
    <mergeCell ref="A20:U21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GIRIMANA</dc:creator>
  <cp:lastModifiedBy>NDAYIKENGURUKIYE Vianney</cp:lastModifiedBy>
  <cp:lastPrinted>2016-11-30T12:34:59Z</cp:lastPrinted>
  <dcterms:created xsi:type="dcterms:W3CDTF">2000-10-18T12:42:23Z</dcterms:created>
  <dcterms:modified xsi:type="dcterms:W3CDTF">2021-03-15T15:11:27Z</dcterms:modified>
</cp:coreProperties>
</file>