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ES JANVIER\Tableaux site en français-JANVIER- 2024\"/>
    </mc:Choice>
  </mc:AlternateContent>
  <bookViews>
    <workbookView xWindow="0" yWindow="0" windowWidth="12090" windowHeight="7860" tabRatio="607" firstSheet="1" activeTab="1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199" i="5" l="1"/>
  <c r="P199" i="5"/>
  <c r="S199" i="5" s="1"/>
  <c r="K199" i="5"/>
  <c r="I199" i="5"/>
  <c r="L199" i="5" s="1"/>
  <c r="O199" i="5" s="1"/>
  <c r="T199" i="5" s="1"/>
  <c r="G199" i="5"/>
  <c r="D199" i="5"/>
  <c r="E199" i="5" s="1"/>
  <c r="C199" i="5"/>
  <c r="B199" i="5"/>
  <c r="Q198" i="5"/>
  <c r="P198" i="5"/>
  <c r="S198" i="5" s="1"/>
  <c r="K198" i="5"/>
  <c r="I198" i="5"/>
  <c r="G198" i="5"/>
  <c r="L198" i="5" s="1"/>
  <c r="O198" i="5" s="1"/>
  <c r="T198" i="5" s="1"/>
  <c r="D198" i="5"/>
  <c r="C198" i="5"/>
  <c r="B198" i="5"/>
  <c r="E198" i="5" s="1"/>
  <c r="U198" i="5" s="1"/>
  <c r="Q197" i="5"/>
  <c r="P197" i="5"/>
  <c r="S197" i="5" s="1"/>
  <c r="K197" i="5"/>
  <c r="I197" i="5"/>
  <c r="G197" i="5"/>
  <c r="L197" i="5" s="1"/>
  <c r="O197" i="5" s="1"/>
  <c r="T197" i="5" s="1"/>
  <c r="D197" i="5"/>
  <c r="C197" i="5"/>
  <c r="B197" i="5"/>
  <c r="E197" i="5" s="1"/>
  <c r="U197" i="5" s="1"/>
  <c r="Q196" i="5"/>
  <c r="S196" i="5" s="1"/>
  <c r="P196" i="5"/>
  <c r="K196" i="5"/>
  <c r="I196" i="5"/>
  <c r="L196" i="5" s="1"/>
  <c r="O196" i="5" s="1"/>
  <c r="T196" i="5" s="1"/>
  <c r="G196" i="5"/>
  <c r="D196" i="5"/>
  <c r="E196" i="5" s="1"/>
  <c r="C196" i="5"/>
  <c r="B196" i="5"/>
  <c r="Q195" i="5"/>
  <c r="P195" i="5"/>
  <c r="S195" i="5" s="1"/>
  <c r="K195" i="5"/>
  <c r="I195" i="5"/>
  <c r="G195" i="5"/>
  <c r="L195" i="5" s="1"/>
  <c r="O195" i="5" s="1"/>
  <c r="T195" i="5" s="1"/>
  <c r="D195" i="5"/>
  <c r="C195" i="5"/>
  <c r="B195" i="5"/>
  <c r="E195" i="5" s="1"/>
  <c r="U195" i="5" s="1"/>
  <c r="Q194" i="5"/>
  <c r="S194" i="5" s="1"/>
  <c r="P194" i="5"/>
  <c r="K194" i="5"/>
  <c r="L194" i="5" s="1"/>
  <c r="O194" i="5" s="1"/>
  <c r="I194" i="5"/>
  <c r="G194" i="5"/>
  <c r="D194" i="5"/>
  <c r="E194" i="5" s="1"/>
  <c r="C194" i="5"/>
  <c r="B194" i="5"/>
  <c r="Q193" i="5"/>
  <c r="P193" i="5"/>
  <c r="S193" i="5" s="1"/>
  <c r="K193" i="5"/>
  <c r="I193" i="5"/>
  <c r="G193" i="5"/>
  <c r="L193" i="5" s="1"/>
  <c r="O193" i="5" s="1"/>
  <c r="T193" i="5" s="1"/>
  <c r="D193" i="5"/>
  <c r="C193" i="5"/>
  <c r="B193" i="5"/>
  <c r="E193" i="5" s="1"/>
  <c r="U193" i="5" s="1"/>
  <c r="Q192" i="5"/>
  <c r="S192" i="5" s="1"/>
  <c r="P192" i="5"/>
  <c r="K192" i="5"/>
  <c r="L192" i="5" s="1"/>
  <c r="O192" i="5" s="1"/>
  <c r="I192" i="5"/>
  <c r="G192" i="5"/>
  <c r="D192" i="5"/>
  <c r="E192" i="5" s="1"/>
  <c r="C192" i="5"/>
  <c r="B192" i="5"/>
  <c r="Q191" i="5"/>
  <c r="P191" i="5"/>
  <c r="S191" i="5" s="1"/>
  <c r="K191" i="5"/>
  <c r="I191" i="5"/>
  <c r="G191" i="5"/>
  <c r="L191" i="5" s="1"/>
  <c r="O191" i="5" s="1"/>
  <c r="T191" i="5" s="1"/>
  <c r="D191" i="5"/>
  <c r="C191" i="5"/>
  <c r="B191" i="5"/>
  <c r="E191" i="5" s="1"/>
  <c r="U191" i="5" s="1"/>
  <c r="Q190" i="5"/>
  <c r="S190" i="5" s="1"/>
  <c r="P190" i="5"/>
  <c r="K190" i="5"/>
  <c r="L190" i="5" s="1"/>
  <c r="O190" i="5" s="1"/>
  <c r="I190" i="5"/>
  <c r="G190" i="5"/>
  <c r="D190" i="5"/>
  <c r="E190" i="5" s="1"/>
  <c r="C190" i="5"/>
  <c r="B190" i="5"/>
  <c r="Q189" i="5"/>
  <c r="P189" i="5"/>
  <c r="S189" i="5" s="1"/>
  <c r="K189" i="5"/>
  <c r="I189" i="5"/>
  <c r="G189" i="5"/>
  <c r="L189" i="5" s="1"/>
  <c r="O189" i="5" s="1"/>
  <c r="T189" i="5" s="1"/>
  <c r="D189" i="5"/>
  <c r="C189" i="5"/>
  <c r="B189" i="5"/>
  <c r="E189" i="5" s="1"/>
  <c r="U189" i="5" s="1"/>
  <c r="Q188" i="5"/>
  <c r="S188" i="5" s="1"/>
  <c r="P188" i="5"/>
  <c r="K188" i="5"/>
  <c r="L188" i="5" s="1"/>
  <c r="O188" i="5" s="1"/>
  <c r="I188" i="5"/>
  <c r="G188" i="5"/>
  <c r="D188" i="5"/>
  <c r="E188" i="5" s="1"/>
  <c r="C188" i="5"/>
  <c r="B188" i="5"/>
  <c r="Q187" i="5"/>
  <c r="P187" i="5"/>
  <c r="S187" i="5" s="1"/>
  <c r="K187" i="5"/>
  <c r="I187" i="5"/>
  <c r="G187" i="5"/>
  <c r="L187" i="5" s="1"/>
  <c r="O187" i="5" s="1"/>
  <c r="T187" i="5" s="1"/>
  <c r="D187" i="5"/>
  <c r="C187" i="5"/>
  <c r="B187" i="5"/>
  <c r="E187" i="5" s="1"/>
  <c r="T190" i="5" l="1"/>
  <c r="U190" i="5" s="1"/>
  <c r="T192" i="5"/>
  <c r="T194" i="5"/>
  <c r="U187" i="5"/>
  <c r="T188" i="5"/>
  <c r="U188" i="5" s="1"/>
  <c r="U199" i="5"/>
  <c r="U192" i="5"/>
  <c r="U194" i="5"/>
  <c r="U196" i="5"/>
  <c r="T185" i="5" l="1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L186" i="5"/>
  <c r="O186" i="5" s="1"/>
  <c r="T186" i="5" s="1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U166" i="5" l="1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63" i="5"/>
  <c r="U164" i="5"/>
  <c r="U165" i="5"/>
  <c r="U162" i="5"/>
  <c r="U161" i="5"/>
  <c r="E21" i="7" l="1"/>
  <c r="U21" i="7" s="1"/>
  <c r="E66" i="6"/>
  <c r="U66" i="6" s="1"/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I162" i="5"/>
  <c r="E162" i="5"/>
  <c r="P57" i="6" l="1"/>
  <c r="S57" i="6" s="1"/>
  <c r="I57" i="6"/>
  <c r="L57" i="6" s="1"/>
  <c r="O57" i="6" s="1"/>
  <c r="E57" i="6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57" i="6" l="1"/>
  <c r="U57" i="6" s="1"/>
  <c r="T159" i="5"/>
  <c r="U159" i="5" s="1"/>
  <c r="T161" i="5"/>
  <c r="T160" i="5"/>
  <c r="U160" i="5" s="1"/>
  <c r="T157" i="5"/>
  <c r="U157" i="5" s="1"/>
  <c r="T158" i="5"/>
  <c r="U158" i="5" s="1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E144" i="5"/>
  <c r="E143" i="5"/>
  <c r="U143" i="5" s="1"/>
  <c r="T144" i="5"/>
  <c r="U142" i="5" l="1"/>
  <c r="U144" i="5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<sst xmlns="http://schemas.openxmlformats.org/spreadsheetml/2006/main" count="414" uniqueCount="98">
  <si>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</si>
  <si>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</si>
  <si>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</si>
  <si>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</si>
  <si>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</si>
  <si>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</si>
  <si>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</si>
  <si>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</si>
  <si>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</si>
  <si>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</si>
  <si>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</si>
  <si>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</si>
  <si>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</si>
  <si>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</si>
  <si>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</si>
  <si>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</si>
  <si>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</si>
  <si>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</si>
  <si>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</si>
  <si>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</si>
  <si>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</si>
  <si>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</si>
  <si>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</si>
  <si>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</si>
  <si>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</si>
  <si>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</si>
  <si>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</si>
  <si>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</si>
  <si>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</si>
  <si>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</si>
  <si>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</si>
  <si>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</si>
  <si>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</si>
  <si>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</si>
  <si>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</si>
  <si>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</si>
  <si>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</si>
  <si>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</si>
  <si>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</si>
  <si>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</si>
  <si>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</si>
  <si>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</si>
  <si>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</si>
  <si>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</si>
  <si>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</si>
  <si>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</si>
  <si>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</si>
  <si>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</si>
  <si>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</si>
  <si>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</si>
  <si>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</si>
  <si>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</si>
  <si>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</si>
  <si>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</si>
  <si>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</si>
  <si>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</si>
  <si>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</si>
  <si>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</si>
  <si>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</si>
  <si>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</si>
  <si>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</si>
  <si>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</si>
  <si>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</si>
  <si>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</si>
  <si>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</si>
  <si>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</si>
  <si>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</si>
  <si>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</si>
  <si>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</si>
  <si>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</si>
  <si>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</si>
  <si>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</si>
  <si>
    <r>
      <t xml:space="preserve">                     Déc-22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</si>
  <si>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</si>
  <si>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</si>
  <si>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</si>
  <si>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</si>
  <si>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</si>
  <si>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</si>
  <si>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</si>
  <si>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</si>
  <si>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</si>
  <si>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</si>
  <si>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</si>
  <si>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</si>
  <si>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</si>
  <si>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</si>
  <si>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</si>
  <si>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</si>
  <si>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</si>
  <si>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</si>
  <si>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</si>
  <si>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</si>
  <si>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               'Mars-23</t>
    </r>
    <r>
      <rPr>
        <vertAlign val="superscript"/>
        <sz val="12"/>
        <rFont val="Cambria"/>
        <family val="1"/>
      </rPr>
      <t>(p)</t>
    </r>
  </si>
  <si>
    <r>
      <t xml:space="preserve">                 'Juin-23</t>
    </r>
    <r>
      <rPr>
        <vertAlign val="superscript"/>
        <sz val="12"/>
        <rFont val="Cambria"/>
        <family val="1"/>
      </rPr>
      <t>(p)</t>
    </r>
  </si>
  <si>
    <r>
      <t xml:space="preserve">               'Septembre-23</t>
    </r>
    <r>
      <rPr>
        <vertAlign val="superscript"/>
        <sz val="12"/>
        <rFont val="Cambria"/>
        <family val="1"/>
      </rPr>
      <t>(p)</t>
    </r>
  </si>
  <si>
    <r>
      <t xml:space="preserve">                 'déc-23</t>
    </r>
    <r>
      <rPr>
        <vertAlign val="superscript"/>
        <sz val="12"/>
        <rFont val="Cambria"/>
        <family val="1"/>
      </rPr>
      <t>(p)</t>
    </r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</si>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</sst>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7" fontId="14" fillId="0" borderId="10" xfId="0" applyNumberFormat="1" applyFont="1" applyFill="1" applyBorder="1" applyAlignment="1" applyProtection="1">
      <alignment horizontal="left" vertical="center" indent="2"/>
    </xf>
    <xf numFmtId="17" fontId="14" fillId="0" borderId="10" xfId="0" applyNumberFormat="1" applyFont="1" applyFill="1" applyBorder="1" applyAlignment="1" applyProtection="1"/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F15" sqref="F15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45292</v>
      </c>
    </row>
    <row r="13" spans="2:5">
      <c r="B13" s="7" t="s">
        <v>31</v>
      </c>
      <c r="C13" s="8" t="s">
        <v>60</v>
      </c>
      <c r="D13" s="8" t="s">
        <v>31</v>
      </c>
      <c r="E13" s="10" t="s">
        <v>89</v>
      </c>
    </row>
    <row r="14" spans="2:5">
      <c r="B14" s="7" t="s">
        <v>32</v>
      </c>
      <c r="C14" s="8" t="s">
        <v>38</v>
      </c>
      <c r="D14" s="8" t="s">
        <v>32</v>
      </c>
      <c r="E14" s="9" t="s">
        <v>90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201"/>
  <sheetViews>
    <sheetView tabSelected="1" zoomScale="80" zoomScaleNormal="80" workbookViewId="0">
      <pane xSplit="1" ySplit="6" topLeftCell="S184" activePane="bottomRight" state="frozen"/>
      <selection pane="topRight" activeCell="B1" sqref="B1"/>
      <selection pane="bottomLeft" activeCell="A7" sqref="A7"/>
      <selection pane="bottomRight" activeCell="T191" sqref="T191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64" t="s">
        <v>55</v>
      </c>
      <c r="G2" s="64"/>
      <c r="H2" s="64"/>
    </row>
    <row r="3" spans="1:21" ht="21" customHeight="1"/>
    <row r="4" spans="1:21" s="24" customFormat="1" ht="15.75" customHeight="1">
      <c r="A4" s="61" t="s">
        <v>46</v>
      </c>
      <c r="B4" s="55" t="s">
        <v>3</v>
      </c>
      <c r="C4" s="56"/>
      <c r="D4" s="56"/>
      <c r="E4" s="57"/>
      <c r="F4" s="65" t="s">
        <v>4</v>
      </c>
      <c r="G4" s="66"/>
      <c r="H4" s="66"/>
      <c r="I4" s="66"/>
      <c r="J4" s="66"/>
      <c r="K4" s="66"/>
      <c r="L4" s="66"/>
      <c r="M4" s="66"/>
      <c r="N4" s="66"/>
      <c r="O4" s="67"/>
      <c r="P4" s="65"/>
      <c r="Q4" s="66"/>
      <c r="R4" s="66"/>
      <c r="S4" s="66"/>
      <c r="T4" s="66"/>
      <c r="U4" s="52" t="s">
        <v>21</v>
      </c>
    </row>
    <row r="5" spans="1:21" s="24" customFormat="1" ht="18">
      <c r="A5" s="62"/>
      <c r="B5" s="58"/>
      <c r="C5" s="59"/>
      <c r="D5" s="59"/>
      <c r="E5" s="60"/>
      <c r="F5" s="65" t="s">
        <v>22</v>
      </c>
      <c r="G5" s="66"/>
      <c r="H5" s="66"/>
      <c r="I5" s="66"/>
      <c r="J5" s="66"/>
      <c r="K5" s="66"/>
      <c r="L5" s="66"/>
      <c r="M5" s="66"/>
      <c r="N5" s="66"/>
      <c r="O5" s="67"/>
      <c r="P5" s="65" t="s">
        <v>7</v>
      </c>
      <c r="Q5" s="66"/>
      <c r="R5" s="66"/>
      <c r="S5" s="66"/>
      <c r="T5" s="50" t="s">
        <v>0</v>
      </c>
      <c r="U5" s="53"/>
    </row>
    <row r="6" spans="1:21" s="24" customFormat="1" ht="90">
      <c r="A6" s="63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1"/>
      <c r="U6" s="54"/>
    </row>
    <row r="7" spans="1:21" s="36" customFormat="1" ht="15.75">
      <c r="A7" s="42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2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2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2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2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2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2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2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2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2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2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2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2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2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2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2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2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2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2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2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2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2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2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2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2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2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2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2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2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2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2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2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2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2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2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2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2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2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2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2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2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2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2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2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2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2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2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2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2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2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2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2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2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2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2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2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2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2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2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2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2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2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2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2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2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2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2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2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2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2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2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2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2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2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2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2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2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2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2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2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2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2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2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2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2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2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2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2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2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2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2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2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2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2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2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2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2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2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2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2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2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2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2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2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2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2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2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2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2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2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2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2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2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2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2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2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2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2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2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2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2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2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2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2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2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2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2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2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2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2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2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2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2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97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92" si="24">SUM(O139,S139)</f>
        <v>2367805.4</v>
      </c>
      <c r="U139" s="30">
        <f t="shared" ref="U139:U160" si="25">SUM(E139,T139)</f>
        <v>2129479</v>
      </c>
    </row>
    <row r="140" spans="1:21" s="36" customFormat="1" ht="15.75">
      <c r="A140" s="42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2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2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2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99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2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2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2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2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2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2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2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2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2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2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2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2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2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2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1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1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2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2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2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1" s="36" customFormat="1" ht="15.75">
      <c r="A161" s="42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>SUM(E161,T161)</f>
        <v>3142218.0557070002</v>
      </c>
    </row>
    <row r="162" spans="1:21" s="36" customFormat="1" ht="15.75">
      <c r="A162" s="42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:E186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:L186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>SUM(E162,T162)</f>
        <v>3258016.5834830003</v>
      </c>
    </row>
    <row r="163" spans="1:21" s="36" customFormat="1" ht="15.75">
      <c r="A163" s="42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3"/>
        <v>-219299.73333333331</v>
      </c>
      <c r="F163" s="31">
        <v>0</v>
      </c>
      <c r="G163" s="31">
        <v>1630156.1</v>
      </c>
      <c r="H163" s="31"/>
      <c r="I163" s="31">
        <v>322809.2</v>
      </c>
      <c r="J163" s="31">
        <v>6921.2</v>
      </c>
      <c r="K163" s="31">
        <v>708283.6</v>
      </c>
      <c r="L163" s="32">
        <f t="shared" si="34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ref="U163:U199" si="35">SUM(E163,T163)</f>
        <v>3272078.2889246671</v>
      </c>
    </row>
    <row r="164" spans="1:21" s="36" customFormat="1" ht="15.75">
      <c r="A164" s="42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3"/>
        <v>-189401.26666666669</v>
      </c>
      <c r="F164" s="31">
        <v>0</v>
      </c>
      <c r="G164" s="31">
        <v>1650991.0999999999</v>
      </c>
      <c r="H164" s="31"/>
      <c r="I164" s="31">
        <v>353692.5</v>
      </c>
      <c r="J164" s="31">
        <v>5527.9</v>
      </c>
      <c r="K164" s="31">
        <v>704458.1</v>
      </c>
      <c r="L164" s="32">
        <f t="shared" si="34"/>
        <v>2714669.5999999996</v>
      </c>
      <c r="M164" s="31">
        <v>617816.80289299996</v>
      </c>
      <c r="N164" s="30">
        <v>74764.100000000006</v>
      </c>
      <c r="O164" s="32">
        <f t="shared" si="22"/>
        <v>2022088.6971069996</v>
      </c>
      <c r="P164" s="37"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35"/>
        <v>3333932.1304403329</v>
      </c>
    </row>
    <row r="165" spans="1:21" s="36" customFormat="1" ht="15.75">
      <c r="A165" s="42">
        <v>44286</v>
      </c>
      <c r="B165" s="31">
        <v>-119123.90000000002</v>
      </c>
      <c r="C165" s="31">
        <v>-108593.39999999997</v>
      </c>
      <c r="D165" s="31">
        <v>-81.7</v>
      </c>
      <c r="E165" s="30">
        <f t="shared" si="33"/>
        <v>-227799</v>
      </c>
      <c r="F165" s="31">
        <v>0</v>
      </c>
      <c r="G165" s="31">
        <v>1648781.3</v>
      </c>
      <c r="H165" s="31"/>
      <c r="I165" s="31">
        <v>328747.7</v>
      </c>
      <c r="J165" s="31">
        <v>4134.6000000000004</v>
      </c>
      <c r="K165" s="31">
        <v>703262.9</v>
      </c>
      <c r="L165" s="32">
        <f t="shared" si="34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35"/>
        <v>3357336.6000000006</v>
      </c>
    </row>
    <row r="166" spans="1:21" s="36" customFormat="1" ht="15.75">
      <c r="A166" s="42">
        <v>44316</v>
      </c>
      <c r="B166" s="31">
        <v>-105226.09999999998</v>
      </c>
      <c r="C166" s="31">
        <v>-143518.30000000002</v>
      </c>
      <c r="D166" s="31">
        <v>-93.8</v>
      </c>
      <c r="E166" s="30">
        <f t="shared" si="33"/>
        <v>-248838.19999999998</v>
      </c>
      <c r="F166" s="31">
        <v>0</v>
      </c>
      <c r="G166" s="31">
        <v>1666160.8</v>
      </c>
      <c r="H166" s="31"/>
      <c r="I166" s="31">
        <v>351318.8</v>
      </c>
      <c r="J166" s="31">
        <v>2741.3</v>
      </c>
      <c r="K166" s="31">
        <v>702954.8</v>
      </c>
      <c r="L166" s="32">
        <f t="shared" si="34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35"/>
        <v>3342102.166666667</v>
      </c>
    </row>
    <row r="167" spans="1:21" s="36" customFormat="1" ht="15.75">
      <c r="A167" s="42">
        <v>44347</v>
      </c>
      <c r="B167" s="31">
        <v>-123599.69999999998</v>
      </c>
      <c r="C167" s="31">
        <v>-148492.4</v>
      </c>
      <c r="D167" s="31">
        <v>-105.9</v>
      </c>
      <c r="E167" s="30">
        <f t="shared" si="33"/>
        <v>-272198</v>
      </c>
      <c r="F167" s="31">
        <v>0</v>
      </c>
      <c r="G167" s="31">
        <v>1691766.9</v>
      </c>
      <c r="H167" s="31"/>
      <c r="I167" s="31">
        <v>342116.6</v>
      </c>
      <c r="J167" s="31">
        <v>0</v>
      </c>
      <c r="K167" s="31">
        <v>702546.1</v>
      </c>
      <c r="L167" s="32">
        <f t="shared" si="34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35"/>
        <v>3416495.333333333</v>
      </c>
    </row>
    <row r="168" spans="1:21" s="36" customFormat="1" ht="15.75">
      <c r="A168" s="42">
        <v>44377</v>
      </c>
      <c r="B168" s="31">
        <v>-114588.4</v>
      </c>
      <c r="C168" s="31">
        <v>-190802.4</v>
      </c>
      <c r="D168" s="31">
        <v>-118</v>
      </c>
      <c r="E168" s="30">
        <f t="shared" si="33"/>
        <v>-305508.8</v>
      </c>
      <c r="F168" s="31">
        <v>57076.7</v>
      </c>
      <c r="G168" s="31">
        <v>1719227.5999999999</v>
      </c>
      <c r="H168" s="31"/>
      <c r="I168" s="31">
        <v>347225.00000000006</v>
      </c>
      <c r="J168" s="31">
        <v>0</v>
      </c>
      <c r="K168" s="31">
        <v>701028.8</v>
      </c>
      <c r="L168" s="32">
        <f t="shared" si="34"/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35"/>
        <v>3566605</v>
      </c>
    </row>
    <row r="169" spans="1:21" s="36" customFormat="1" ht="15.75">
      <c r="A169" s="42">
        <v>44408</v>
      </c>
      <c r="B169" s="31">
        <v>-137154.4</v>
      </c>
      <c r="C169" s="31">
        <v>-203220.3</v>
      </c>
      <c r="D169" s="31">
        <v>-148.66666666666666</v>
      </c>
      <c r="E169" s="30">
        <f t="shared" si="33"/>
        <v>-340523.36666666664</v>
      </c>
      <c r="F169" s="31">
        <v>63146.5</v>
      </c>
      <c r="G169" s="31">
        <v>1777924.3</v>
      </c>
      <c r="H169" s="31"/>
      <c r="I169" s="31">
        <v>334942.40000000002</v>
      </c>
      <c r="J169" s="31">
        <v>0</v>
      </c>
      <c r="K169" s="31">
        <v>700389</v>
      </c>
      <c r="L169" s="32">
        <f t="shared" si="34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v>23518.199999999997</v>
      </c>
      <c r="Q169" s="32"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35"/>
        <v>3634283.666666666</v>
      </c>
    </row>
    <row r="170" spans="1:21" s="36" customFormat="1" ht="15.75">
      <c r="A170" s="42">
        <v>44439</v>
      </c>
      <c r="B170" s="31">
        <v>-140627.90000000002</v>
      </c>
      <c r="C170" s="31">
        <v>-223632.4</v>
      </c>
      <c r="D170" s="31">
        <v>-179.33333333333334</v>
      </c>
      <c r="E170" s="30">
        <f t="shared" si="33"/>
        <v>-364439.63333333336</v>
      </c>
      <c r="F170" s="31">
        <v>33670.800000000003</v>
      </c>
      <c r="G170" s="31">
        <v>1802932.4000000001</v>
      </c>
      <c r="H170" s="31"/>
      <c r="I170" s="31">
        <v>350919.80000000005</v>
      </c>
      <c r="J170" s="31">
        <v>0</v>
      </c>
      <c r="K170" s="31">
        <v>698477.8</v>
      </c>
      <c r="L170" s="32">
        <f t="shared" si="34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v>25458.699999999997</v>
      </c>
      <c r="Q170" s="32"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35"/>
        <v>3679010.2333333339</v>
      </c>
    </row>
    <row r="171" spans="1:21" s="36" customFormat="1" ht="15.75">
      <c r="A171" s="42">
        <v>44469</v>
      </c>
      <c r="B171" s="31">
        <v>-150538.59999999998</v>
      </c>
      <c r="C171" s="31">
        <v>-254415.30000000002</v>
      </c>
      <c r="D171" s="31">
        <v>-210</v>
      </c>
      <c r="E171" s="30">
        <f t="shared" si="33"/>
        <v>-405163.9</v>
      </c>
      <c r="F171" s="31">
        <v>0</v>
      </c>
      <c r="G171" s="31">
        <v>1831324.1</v>
      </c>
      <c r="H171" s="31"/>
      <c r="I171" s="31">
        <v>347172.2</v>
      </c>
      <c r="J171" s="31">
        <v>0</v>
      </c>
      <c r="K171" s="31">
        <v>697339.3</v>
      </c>
      <c r="L171" s="32">
        <f t="shared" si="34"/>
        <v>2875835.6000000006</v>
      </c>
      <c r="M171" s="31">
        <v>649481.6</v>
      </c>
      <c r="N171" s="30">
        <v>82805.899999999994</v>
      </c>
      <c r="O171" s="32">
        <f t="shared" si="22"/>
        <v>2143548.1000000006</v>
      </c>
      <c r="P171" s="37">
        <v>25714.199999999997</v>
      </c>
      <c r="Q171" s="32">
        <v>2139643.5</v>
      </c>
      <c r="R171" s="32">
        <v>337.9</v>
      </c>
      <c r="S171" s="30">
        <f t="shared" si="28"/>
        <v>2165695.6</v>
      </c>
      <c r="T171" s="34">
        <f t="shared" si="24"/>
        <v>4309243.7000000011</v>
      </c>
      <c r="U171" s="30">
        <f t="shared" si="35"/>
        <v>3904079.8000000012</v>
      </c>
    </row>
    <row r="172" spans="1:21" s="36" customFormat="1" ht="15.75">
      <c r="A172" s="42">
        <v>44500</v>
      </c>
      <c r="B172" s="31">
        <v>4592.7000000000698</v>
      </c>
      <c r="C172" s="31">
        <v>-281290.19999999995</v>
      </c>
      <c r="D172" s="31">
        <v>-140</v>
      </c>
      <c r="E172" s="30">
        <f t="shared" si="33"/>
        <v>-276837.49999999988</v>
      </c>
      <c r="F172" s="31">
        <v>0</v>
      </c>
      <c r="G172" s="31">
        <v>1829946.6</v>
      </c>
      <c r="H172" s="31"/>
      <c r="I172" s="31">
        <v>348219.30000000005</v>
      </c>
      <c r="J172" s="31">
        <v>0</v>
      </c>
      <c r="K172" s="31">
        <v>696699.4</v>
      </c>
      <c r="L172" s="32">
        <f t="shared" si="34"/>
        <v>2874865.3000000003</v>
      </c>
      <c r="M172" s="31">
        <v>828877.9</v>
      </c>
      <c r="N172" s="30">
        <v>83014.5</v>
      </c>
      <c r="O172" s="32">
        <f t="shared" si="22"/>
        <v>1962972.9000000004</v>
      </c>
      <c r="P172" s="37">
        <v>25674.5</v>
      </c>
      <c r="Q172" s="32">
        <v>2219614.7999999998</v>
      </c>
      <c r="R172" s="32">
        <v>279.7</v>
      </c>
      <c r="S172" s="30">
        <f t="shared" si="28"/>
        <v>2245569</v>
      </c>
      <c r="T172" s="34">
        <f t="shared" si="24"/>
        <v>4208541.9000000004</v>
      </c>
      <c r="U172" s="30">
        <f t="shared" si="35"/>
        <v>3931704.4000000004</v>
      </c>
    </row>
    <row r="173" spans="1:21" s="36" customFormat="1" ht="15.75">
      <c r="A173" s="42">
        <v>44530</v>
      </c>
      <c r="B173" s="31">
        <v>-78219.400000000023</v>
      </c>
      <c r="C173" s="31">
        <v>-243064.40000000002</v>
      </c>
      <c r="D173" s="31">
        <v>-70</v>
      </c>
      <c r="E173" s="30">
        <f t="shared" si="33"/>
        <v>-321353.80000000005</v>
      </c>
      <c r="F173" s="31">
        <v>61719.1</v>
      </c>
      <c r="G173" s="31">
        <v>1820943</v>
      </c>
      <c r="H173" s="31"/>
      <c r="I173" s="31">
        <v>292644.5</v>
      </c>
      <c r="J173" s="31">
        <v>0</v>
      </c>
      <c r="K173" s="31">
        <v>693753.1</v>
      </c>
      <c r="L173" s="32">
        <f t="shared" si="34"/>
        <v>2869059.7</v>
      </c>
      <c r="M173" s="31">
        <v>831789.9</v>
      </c>
      <c r="N173" s="30">
        <v>79761.2</v>
      </c>
      <c r="O173" s="32">
        <f t="shared" si="22"/>
        <v>1957508.6000000003</v>
      </c>
      <c r="P173" s="37">
        <v>25832.899999999998</v>
      </c>
      <c r="Q173" s="32">
        <v>2304686.5</v>
      </c>
      <c r="R173" s="32">
        <v>266.3</v>
      </c>
      <c r="S173" s="30">
        <f t="shared" si="28"/>
        <v>2330785.6999999997</v>
      </c>
      <c r="T173" s="34">
        <f t="shared" si="24"/>
        <v>4288294.3</v>
      </c>
      <c r="U173" s="30">
        <f t="shared" si="35"/>
        <v>3966940.5</v>
      </c>
    </row>
    <row r="174" spans="1:21" s="36" customFormat="1" ht="15.75">
      <c r="A174" s="42">
        <v>44561</v>
      </c>
      <c r="B174" s="31">
        <v>-141348.09999999998</v>
      </c>
      <c r="C174" s="31">
        <v>-181042.40000000002</v>
      </c>
      <c r="D174" s="31">
        <v>0</v>
      </c>
      <c r="E174" s="30">
        <f t="shared" si="33"/>
        <v>-322390.5</v>
      </c>
      <c r="F174" s="31">
        <v>36124.9</v>
      </c>
      <c r="G174" s="31">
        <v>1816057.7</v>
      </c>
      <c r="H174" s="31"/>
      <c r="I174" s="31">
        <v>290056.7</v>
      </c>
      <c r="J174" s="31">
        <v>0</v>
      </c>
      <c r="K174" s="31">
        <v>690961.7</v>
      </c>
      <c r="L174" s="32">
        <f t="shared" si="34"/>
        <v>2833201</v>
      </c>
      <c r="M174" s="31">
        <v>826676.3</v>
      </c>
      <c r="N174" s="30">
        <v>75800.899999999994</v>
      </c>
      <c r="O174" s="32">
        <f t="shared" si="22"/>
        <v>1930723.8</v>
      </c>
      <c r="P174" s="37">
        <v>25121</v>
      </c>
      <c r="Q174" s="32">
        <v>2351611.3000000003</v>
      </c>
      <c r="R174" s="32">
        <v>256.5</v>
      </c>
      <c r="S174" s="30">
        <f t="shared" si="28"/>
        <v>2376988.8000000003</v>
      </c>
      <c r="T174" s="34">
        <f t="shared" si="24"/>
        <v>4307712.6000000006</v>
      </c>
      <c r="U174" s="30">
        <f t="shared" si="35"/>
        <v>3985322.1000000006</v>
      </c>
    </row>
    <row r="175" spans="1:21" s="36" customFormat="1" ht="18">
      <c r="A175" s="42" t="s">
        <v>64</v>
      </c>
      <c r="B175" s="31">
        <v>-117059.80000000005</v>
      </c>
      <c r="C175" s="31">
        <v>-237485.4</v>
      </c>
      <c r="D175" s="31">
        <v>0</v>
      </c>
      <c r="E175" s="30">
        <f t="shared" si="33"/>
        <v>-354545.20000000007</v>
      </c>
      <c r="F175" s="31">
        <v>57950.6</v>
      </c>
      <c r="G175" s="31">
        <v>1809944.3</v>
      </c>
      <c r="H175" s="31"/>
      <c r="I175" s="31">
        <v>435342.9</v>
      </c>
      <c r="J175" s="31">
        <v>0</v>
      </c>
      <c r="K175" s="31">
        <v>691355.6</v>
      </c>
      <c r="L175" s="32">
        <f t="shared" si="34"/>
        <v>2994593.4000000004</v>
      </c>
      <c r="M175" s="31">
        <v>835800.1</v>
      </c>
      <c r="N175" s="30">
        <v>82686.100000000006</v>
      </c>
      <c r="O175" s="32">
        <f t="shared" si="22"/>
        <v>2076107.2000000002</v>
      </c>
      <c r="P175" s="37">
        <v>24911.699999999997</v>
      </c>
      <c r="Q175" s="32">
        <v>2391220.9</v>
      </c>
      <c r="R175" s="32">
        <v>230.5</v>
      </c>
      <c r="S175" s="30">
        <f t="shared" si="28"/>
        <v>2416363.1</v>
      </c>
      <c r="T175" s="34">
        <f t="shared" si="24"/>
        <v>4492470.3000000007</v>
      </c>
      <c r="U175" s="30">
        <f t="shared" si="35"/>
        <v>4137925.1000000006</v>
      </c>
    </row>
    <row r="176" spans="1:21" s="36" customFormat="1" ht="18">
      <c r="A176" s="42" t="s">
        <v>65</v>
      </c>
      <c r="B176" s="31">
        <v>-117059.80000000005</v>
      </c>
      <c r="C176" s="31">
        <v>-222015.3</v>
      </c>
      <c r="D176" s="31">
        <v>0</v>
      </c>
      <c r="E176" s="30">
        <f t="shared" si="33"/>
        <v>-339075.10000000003</v>
      </c>
      <c r="F176" s="31">
        <v>57950.6</v>
      </c>
      <c r="G176" s="31">
        <v>1817154.0000000002</v>
      </c>
      <c r="H176" s="31"/>
      <c r="I176" s="31">
        <v>434194.8</v>
      </c>
      <c r="J176" s="31">
        <v>0</v>
      </c>
      <c r="K176" s="31">
        <v>691355.6</v>
      </c>
      <c r="L176" s="32">
        <f t="shared" si="34"/>
        <v>3000655.0000000005</v>
      </c>
      <c r="M176" s="31">
        <v>841264.9</v>
      </c>
      <c r="N176" s="30">
        <v>90403.9</v>
      </c>
      <c r="O176" s="32">
        <f t="shared" si="22"/>
        <v>2068986.2000000007</v>
      </c>
      <c r="P176" s="37">
        <v>24451.600000000002</v>
      </c>
      <c r="Q176" s="32">
        <v>2473616.3000000003</v>
      </c>
      <c r="R176" s="32">
        <v>245.6</v>
      </c>
      <c r="S176" s="30">
        <f t="shared" si="28"/>
        <v>2498313.5000000005</v>
      </c>
      <c r="T176" s="34">
        <f t="shared" si="24"/>
        <v>4567299.7000000011</v>
      </c>
      <c r="U176" s="30">
        <f t="shared" si="35"/>
        <v>4228224.6000000015</v>
      </c>
    </row>
    <row r="177" spans="1:21" s="36" customFormat="1" ht="18">
      <c r="A177" s="42" t="s">
        <v>66</v>
      </c>
      <c r="B177" s="31">
        <v>-113493.90000000002</v>
      </c>
      <c r="C177" s="31">
        <v>-194680.9</v>
      </c>
      <c r="D177" s="31">
        <v>0</v>
      </c>
      <c r="E177" s="30">
        <f t="shared" si="33"/>
        <v>-308174.80000000005</v>
      </c>
      <c r="F177" s="31">
        <v>32028.5</v>
      </c>
      <c r="G177" s="31">
        <v>1833166.5</v>
      </c>
      <c r="H177" s="31"/>
      <c r="I177" s="31">
        <v>429373.89999999997</v>
      </c>
      <c r="J177" s="31">
        <v>0</v>
      </c>
      <c r="K177" s="31">
        <v>690433.4</v>
      </c>
      <c r="L177" s="32">
        <f t="shared" si="34"/>
        <v>2985002.3</v>
      </c>
      <c r="M177" s="31">
        <v>950524.7</v>
      </c>
      <c r="N177" s="30">
        <v>118394.9</v>
      </c>
      <c r="O177" s="32">
        <f t="shared" si="22"/>
        <v>1916082.7</v>
      </c>
      <c r="P177" s="37">
        <v>24010.399999999998</v>
      </c>
      <c r="Q177" s="32">
        <v>2537250.1</v>
      </c>
      <c r="R177" s="32">
        <v>238.4</v>
      </c>
      <c r="S177" s="30">
        <f t="shared" si="28"/>
        <v>2561498.9</v>
      </c>
      <c r="T177" s="34">
        <f t="shared" si="24"/>
        <v>4477581.5999999996</v>
      </c>
      <c r="U177" s="30">
        <f t="shared" si="35"/>
        <v>4169406.8</v>
      </c>
    </row>
    <row r="178" spans="1:21" s="36" customFormat="1" ht="18">
      <c r="A178" s="42" t="s">
        <v>67</v>
      </c>
      <c r="B178" s="31">
        <v>-113493.90000000002</v>
      </c>
      <c r="C178" s="31">
        <v>-165760.99999999997</v>
      </c>
      <c r="D178" s="31">
        <v>0</v>
      </c>
      <c r="E178" s="30">
        <f t="shared" si="33"/>
        <v>-279254.90000000002</v>
      </c>
      <c r="F178" s="31">
        <v>32028.5</v>
      </c>
      <c r="G178" s="31">
        <v>1817104.8</v>
      </c>
      <c r="H178" s="31"/>
      <c r="I178" s="31">
        <v>435118.19999999995</v>
      </c>
      <c r="J178" s="31">
        <v>0</v>
      </c>
      <c r="K178" s="31">
        <v>690433.4</v>
      </c>
      <c r="L178" s="32">
        <f t="shared" si="34"/>
        <v>2974684.9</v>
      </c>
      <c r="M178" s="31">
        <v>918450.3</v>
      </c>
      <c r="N178" s="30">
        <v>113333.2</v>
      </c>
      <c r="O178" s="32">
        <f t="shared" si="22"/>
        <v>1942901.4</v>
      </c>
      <c r="P178" s="37">
        <v>24211.1</v>
      </c>
      <c r="Q178" s="32">
        <v>2619879.0100000002</v>
      </c>
      <c r="R178" s="32">
        <v>233</v>
      </c>
      <c r="S178" s="30">
        <f t="shared" si="28"/>
        <v>2644323.1100000003</v>
      </c>
      <c r="T178" s="34">
        <f t="shared" si="24"/>
        <v>4587224.51</v>
      </c>
      <c r="U178" s="30">
        <f t="shared" si="35"/>
        <v>4307969.6099999994</v>
      </c>
    </row>
    <row r="179" spans="1:21" s="36" customFormat="1" ht="18">
      <c r="A179" s="42" t="s">
        <v>68</v>
      </c>
      <c r="B179" s="31">
        <v>-113493.90000000002</v>
      </c>
      <c r="C179" s="31">
        <v>-135284.69999999998</v>
      </c>
      <c r="D179" s="31">
        <v>0</v>
      </c>
      <c r="E179" s="30">
        <f t="shared" si="33"/>
        <v>-248778.6</v>
      </c>
      <c r="F179" s="31">
        <v>32028.5</v>
      </c>
      <c r="G179" s="31">
        <v>1791570.8</v>
      </c>
      <c r="H179" s="31"/>
      <c r="I179" s="31">
        <v>425847.39999999997</v>
      </c>
      <c r="J179" s="31">
        <v>0</v>
      </c>
      <c r="K179" s="31">
        <v>690433.4</v>
      </c>
      <c r="L179" s="32">
        <f t="shared" si="34"/>
        <v>2939880.1</v>
      </c>
      <c r="M179" s="31">
        <v>942925</v>
      </c>
      <c r="N179" s="30">
        <v>87288.2</v>
      </c>
      <c r="O179" s="32">
        <f t="shared" si="22"/>
        <v>1909666.9000000001</v>
      </c>
      <c r="P179" s="37">
        <v>23597.5</v>
      </c>
      <c r="Q179" s="32">
        <v>2715988.1999999997</v>
      </c>
      <c r="R179" s="32">
        <v>270.40000000000003</v>
      </c>
      <c r="S179" s="30">
        <f t="shared" si="28"/>
        <v>2739856.0999999996</v>
      </c>
      <c r="T179" s="34">
        <f t="shared" si="24"/>
        <v>4649523</v>
      </c>
      <c r="U179" s="30">
        <f t="shared" si="35"/>
        <v>4400744.4000000004</v>
      </c>
    </row>
    <row r="180" spans="1:21" s="36" customFormat="1" ht="18">
      <c r="A180" s="42" t="s">
        <v>69</v>
      </c>
      <c r="B180" s="31">
        <v>-232158.59999999998</v>
      </c>
      <c r="C180" s="31">
        <v>-190483.3</v>
      </c>
      <c r="D180" s="31">
        <v>0</v>
      </c>
      <c r="E180" s="30">
        <f t="shared" si="33"/>
        <v>-422641.89999999997</v>
      </c>
      <c r="F180" s="31">
        <v>266435.90000000002</v>
      </c>
      <c r="G180" s="31">
        <v>1777341.7</v>
      </c>
      <c r="H180" s="31"/>
      <c r="I180" s="31">
        <v>524312.9</v>
      </c>
      <c r="J180" s="31">
        <v>0</v>
      </c>
      <c r="K180" s="31">
        <v>686729.1</v>
      </c>
      <c r="L180" s="32">
        <f t="shared" si="34"/>
        <v>3254819.6</v>
      </c>
      <c r="M180" s="31">
        <v>905749</v>
      </c>
      <c r="N180" s="30">
        <v>120078.3</v>
      </c>
      <c r="O180" s="32">
        <f t="shared" si="22"/>
        <v>2228992.3000000003</v>
      </c>
      <c r="P180" s="37">
        <v>24195.1</v>
      </c>
      <c r="Q180" s="32">
        <v>2882825.3</v>
      </c>
      <c r="R180" s="32">
        <v>6839.5000000000009</v>
      </c>
      <c r="S180" s="30">
        <f t="shared" si="28"/>
        <v>2913859.9</v>
      </c>
      <c r="T180" s="34">
        <f t="shared" si="24"/>
        <v>5142852.2</v>
      </c>
      <c r="U180" s="30">
        <f t="shared" si="35"/>
        <v>4720210.3</v>
      </c>
    </row>
    <row r="181" spans="1:21" s="36" customFormat="1" ht="18">
      <c r="A181" s="42" t="s">
        <v>70</v>
      </c>
      <c r="B181" s="31">
        <v>-335583.1</v>
      </c>
      <c r="C181" s="31">
        <v>-217524.2</v>
      </c>
      <c r="D181" s="31">
        <v>0</v>
      </c>
      <c r="E181" s="30">
        <f t="shared" si="33"/>
        <v>-553107.30000000005</v>
      </c>
      <c r="F181" s="31">
        <v>28468.2</v>
      </c>
      <c r="G181" s="31">
        <v>1762267.7000000002</v>
      </c>
      <c r="H181" s="31"/>
      <c r="I181" s="31">
        <v>839632.6</v>
      </c>
      <c r="J181" s="31">
        <v>0</v>
      </c>
      <c r="K181" s="31">
        <v>945987.1</v>
      </c>
      <c r="L181" s="32">
        <f t="shared" si="34"/>
        <v>3576355.6</v>
      </c>
      <c r="M181" s="31">
        <v>968414.23333333305</v>
      </c>
      <c r="N181" s="30">
        <v>115213.2</v>
      </c>
      <c r="O181" s="32">
        <f t="shared" si="22"/>
        <v>2492728.166666667</v>
      </c>
      <c r="P181" s="37">
        <v>25024.1</v>
      </c>
      <c r="Q181" s="32">
        <v>3001914.9000000004</v>
      </c>
      <c r="R181" s="32">
        <v>213</v>
      </c>
      <c r="S181" s="30">
        <f t="shared" si="28"/>
        <v>3027152.0000000005</v>
      </c>
      <c r="T181" s="34">
        <f t="shared" si="24"/>
        <v>5519880.1666666679</v>
      </c>
      <c r="U181" s="30">
        <f t="shared" si="35"/>
        <v>4966772.8666666681</v>
      </c>
    </row>
    <row r="182" spans="1:21" s="36" customFormat="1" ht="18">
      <c r="A182" s="42" t="s">
        <v>77</v>
      </c>
      <c r="B182" s="31">
        <v>-298966.30000000005</v>
      </c>
      <c r="C182" s="31">
        <v>-239292.2</v>
      </c>
      <c r="D182" s="31">
        <v>0</v>
      </c>
      <c r="E182" s="30">
        <f t="shared" si="33"/>
        <v>-538258.5</v>
      </c>
      <c r="F182" s="31">
        <v>17695.5</v>
      </c>
      <c r="G182" s="31">
        <v>1772507.1</v>
      </c>
      <c r="H182" s="31"/>
      <c r="I182" s="31">
        <v>822229.7</v>
      </c>
      <c r="J182" s="31">
        <v>0</v>
      </c>
      <c r="K182" s="31">
        <v>956869.3</v>
      </c>
      <c r="L182" s="32">
        <f t="shared" si="34"/>
        <v>3569301.5999999996</v>
      </c>
      <c r="M182" s="31">
        <v>895084.66666666698</v>
      </c>
      <c r="N182" s="30">
        <v>96818.9</v>
      </c>
      <c r="O182" s="32">
        <f t="shared" si="22"/>
        <v>2577398.0333333327</v>
      </c>
      <c r="P182" s="37">
        <v>25410.199999999997</v>
      </c>
      <c r="Q182" s="32">
        <v>3059726.9</v>
      </c>
      <c r="R182" s="32">
        <v>203.5</v>
      </c>
      <c r="S182" s="30">
        <f t="shared" si="28"/>
        <v>3085340.6</v>
      </c>
      <c r="T182" s="34">
        <f t="shared" si="24"/>
        <v>5662738.6333333328</v>
      </c>
      <c r="U182" s="30">
        <f t="shared" si="35"/>
        <v>5124480.1333333328</v>
      </c>
    </row>
    <row r="183" spans="1:21" s="36" customFormat="1" ht="18">
      <c r="A183" s="42" t="s">
        <v>73</v>
      </c>
      <c r="B183" s="31">
        <v>-252190.40000000002</v>
      </c>
      <c r="C183" s="31">
        <v>-326772.79999999993</v>
      </c>
      <c r="D183" s="31">
        <v>0</v>
      </c>
      <c r="E183" s="30">
        <f t="shared" si="33"/>
        <v>-578963.19999999995</v>
      </c>
      <c r="F183" s="31">
        <v>82611.8</v>
      </c>
      <c r="G183" s="31">
        <v>1832259.9</v>
      </c>
      <c r="H183" s="31"/>
      <c r="I183" s="31">
        <v>812437.6</v>
      </c>
      <c r="J183" s="31">
        <v>0</v>
      </c>
      <c r="K183" s="31">
        <v>956869.3</v>
      </c>
      <c r="L183" s="32">
        <f t="shared" si="34"/>
        <v>3684178.5999999996</v>
      </c>
      <c r="M183" s="31">
        <v>1027904.5</v>
      </c>
      <c r="N183" s="30">
        <v>123234.2</v>
      </c>
      <c r="O183" s="32">
        <f t="shared" si="22"/>
        <v>2533039.8999999994</v>
      </c>
      <c r="P183" s="37">
        <v>24189.1</v>
      </c>
      <c r="Q183" s="32">
        <v>3203720.8</v>
      </c>
      <c r="R183" s="32">
        <v>829.2</v>
      </c>
      <c r="S183" s="30">
        <f t="shared" si="28"/>
        <v>3228739.1</v>
      </c>
      <c r="T183" s="34">
        <f t="shared" si="24"/>
        <v>5761779</v>
      </c>
      <c r="U183" s="30">
        <f t="shared" si="35"/>
        <v>5182815.8</v>
      </c>
    </row>
    <row r="184" spans="1:21" s="36" customFormat="1" ht="18">
      <c r="A184" s="42" t="s">
        <v>74</v>
      </c>
      <c r="B184" s="31">
        <v>-264530.59999999998</v>
      </c>
      <c r="C184" s="31">
        <v>-309265.09999999998</v>
      </c>
      <c r="D184" s="31">
        <v>-119.3</v>
      </c>
      <c r="E184" s="30">
        <f t="shared" si="33"/>
        <v>-573915</v>
      </c>
      <c r="F184" s="31">
        <v>25854.9</v>
      </c>
      <c r="G184" s="31">
        <v>1843946.9999999998</v>
      </c>
      <c r="H184" s="31"/>
      <c r="I184" s="31">
        <v>813762.2</v>
      </c>
      <c r="J184" s="31">
        <v>0</v>
      </c>
      <c r="K184" s="31">
        <v>956869.3</v>
      </c>
      <c r="L184" s="32">
        <f t="shared" si="34"/>
        <v>3640433.3999999994</v>
      </c>
      <c r="M184" s="31">
        <v>969164.1</v>
      </c>
      <c r="N184" s="30">
        <v>65963.3</v>
      </c>
      <c r="O184" s="32">
        <f t="shared" si="22"/>
        <v>2605305.9999999995</v>
      </c>
      <c r="P184" s="37">
        <v>23641</v>
      </c>
      <c r="Q184" s="32">
        <v>3217202.2</v>
      </c>
      <c r="R184" s="32">
        <v>189</v>
      </c>
      <c r="S184" s="30">
        <f t="shared" si="28"/>
        <v>3241032.2</v>
      </c>
      <c r="T184" s="34">
        <f t="shared" si="24"/>
        <v>5846338.1999999993</v>
      </c>
      <c r="U184" s="30">
        <f t="shared" si="35"/>
        <v>5272423.1999999993</v>
      </c>
    </row>
    <row r="185" spans="1:21" s="36" customFormat="1" ht="18">
      <c r="A185" s="42" t="s">
        <v>75</v>
      </c>
      <c r="B185" s="31">
        <v>-202019.69999999995</v>
      </c>
      <c r="C185" s="31">
        <v>-350353.1</v>
      </c>
      <c r="D185" s="31">
        <v>-238.6</v>
      </c>
      <c r="E185" s="30">
        <f t="shared" si="33"/>
        <v>-552611.39999999991</v>
      </c>
      <c r="F185" s="31">
        <v>52799.4</v>
      </c>
      <c r="G185" s="31">
        <v>1891121.7</v>
      </c>
      <c r="H185" s="31"/>
      <c r="I185" s="31">
        <v>820862</v>
      </c>
      <c r="J185" s="31">
        <v>0</v>
      </c>
      <c r="K185" s="31">
        <v>942130</v>
      </c>
      <c r="L185" s="32">
        <f t="shared" si="34"/>
        <v>3706913.0999999996</v>
      </c>
      <c r="M185" s="31">
        <v>1101437.8</v>
      </c>
      <c r="N185" s="30">
        <v>116703.4</v>
      </c>
      <c r="O185" s="32">
        <f t="shared" si="22"/>
        <v>2488771.9</v>
      </c>
      <c r="P185" s="37">
        <v>25082.199999999997</v>
      </c>
      <c r="Q185" s="32">
        <v>3312006.4</v>
      </c>
      <c r="R185" s="32">
        <v>181.5</v>
      </c>
      <c r="S185" s="30">
        <f t="shared" si="28"/>
        <v>3337270.1</v>
      </c>
      <c r="T185" s="34">
        <f t="shared" si="24"/>
        <v>5826042</v>
      </c>
      <c r="U185" s="30">
        <f t="shared" si="35"/>
        <v>5273430.5999999996</v>
      </c>
    </row>
    <row r="186" spans="1:21" s="36" customFormat="1" ht="18">
      <c r="A186" s="42" t="s">
        <v>76</v>
      </c>
      <c r="B186" s="31">
        <v>-252046.90000000002</v>
      </c>
      <c r="C186" s="31">
        <v>-309521.5</v>
      </c>
      <c r="D186" s="31">
        <v>-357.9</v>
      </c>
      <c r="E186" s="30">
        <f t="shared" si="33"/>
        <v>-561926.30000000005</v>
      </c>
      <c r="F186" s="31">
        <v>3346.5</v>
      </c>
      <c r="G186" s="31">
        <v>1994536.9</v>
      </c>
      <c r="H186" s="31"/>
      <c r="I186" s="31">
        <v>875209.5</v>
      </c>
      <c r="J186" s="31">
        <v>0</v>
      </c>
      <c r="K186" s="31">
        <v>941229</v>
      </c>
      <c r="L186" s="32">
        <f t="shared" si="34"/>
        <v>3814321.9</v>
      </c>
      <c r="M186" s="31">
        <v>1152725.8999999999</v>
      </c>
      <c r="N186" s="30">
        <v>128898.4</v>
      </c>
      <c r="O186" s="32">
        <f t="shared" si="22"/>
        <v>2532697.6</v>
      </c>
      <c r="P186" s="37">
        <v>23718</v>
      </c>
      <c r="Q186" s="32">
        <v>3388341.2</v>
      </c>
      <c r="R186" s="32">
        <v>167.9</v>
      </c>
      <c r="S186" s="30">
        <f t="shared" si="28"/>
        <v>3412227.1</v>
      </c>
      <c r="T186" s="34">
        <f t="shared" si="24"/>
        <v>5944924.7000000002</v>
      </c>
      <c r="U186" s="30">
        <f t="shared" si="35"/>
        <v>5382998.4000000004</v>
      </c>
    </row>
    <row r="187" spans="1:21" s="36" customFormat="1" ht="18">
      <c r="A187" s="42" t="s">
        <v>78</v>
      </c>
      <c r="B187" s="31">
        <f>380839.5-682422.9</f>
        <v>-301583.40000000002</v>
      </c>
      <c r="C187" s="31">
        <f>226499.7-469165.6</f>
        <v>-242665.89999999997</v>
      </c>
      <c r="D187" s="31">
        <f>0-246.1</f>
        <v>-246.1</v>
      </c>
      <c r="E187" s="30">
        <f t="shared" ref="E187:E198" si="36">+SUM(B187:D187)</f>
        <v>-544495.4</v>
      </c>
      <c r="F187" s="31">
        <v>0</v>
      </c>
      <c r="G187" s="31">
        <f>292381.4+1651365.2+100+112971.5</f>
        <v>2056818.1</v>
      </c>
      <c r="H187" s="31"/>
      <c r="I187" s="31">
        <f>150000+120000+36016+300000+94652.5+61731.4+26969.4+76116.6+11342.3</f>
        <v>876828.20000000007</v>
      </c>
      <c r="J187" s="31">
        <v>0</v>
      </c>
      <c r="K187" s="31">
        <f>673227.1+266435.9</f>
        <v>939663</v>
      </c>
      <c r="L187" s="32">
        <f t="shared" ref="L187:L198" si="37">+SUM(F187:K187)</f>
        <v>3873309.3000000003</v>
      </c>
      <c r="M187" s="31">
        <v>1108779.8</v>
      </c>
      <c r="N187" s="30">
        <v>104771.7</v>
      </c>
      <c r="O187" s="32">
        <f t="shared" si="22"/>
        <v>2659757.7999999998</v>
      </c>
      <c r="P187" s="37">
        <f>24258.1+101.6</f>
        <v>24359.699999999997</v>
      </c>
      <c r="Q187" s="32">
        <f>3311938.1+8447.6+80356.1</f>
        <v>3400741.8000000003</v>
      </c>
      <c r="R187" s="32">
        <v>160</v>
      </c>
      <c r="S187" s="30">
        <f t="shared" si="28"/>
        <v>3425261.5000000005</v>
      </c>
      <c r="T187" s="34">
        <f t="shared" si="24"/>
        <v>6085019.3000000007</v>
      </c>
      <c r="U187" s="30">
        <f t="shared" si="35"/>
        <v>5540523.9000000004</v>
      </c>
    </row>
    <row r="188" spans="1:21" s="36" customFormat="1" ht="18">
      <c r="A188" s="42" t="s">
        <v>79</v>
      </c>
      <c r="B188" s="31">
        <f>372946.5-681266.9</f>
        <v>-308320.40000000002</v>
      </c>
      <c r="C188" s="31">
        <f>186225.2-472285.2</f>
        <v>-286060</v>
      </c>
      <c r="D188" s="31">
        <f>0-123.1</f>
        <v>-123.1</v>
      </c>
      <c r="E188" s="30">
        <f t="shared" si="36"/>
        <v>-594503.5</v>
      </c>
      <c r="F188" s="31">
        <v>0</v>
      </c>
      <c r="G188" s="31">
        <f>306858+1662236.6+100+113038.1</f>
        <v>2082232.7000000002</v>
      </c>
      <c r="H188" s="31"/>
      <c r="I188" s="31">
        <f>150000+120000+36220.1+300000+94652.5+104307.7+18658+76116.6+11342.3</f>
        <v>911297.2</v>
      </c>
      <c r="J188" s="31">
        <v>0</v>
      </c>
      <c r="K188" s="31">
        <f>671660.7+266435.7</f>
        <v>938096.39999999991</v>
      </c>
      <c r="L188" s="32">
        <f t="shared" si="37"/>
        <v>3931626.3000000003</v>
      </c>
      <c r="M188" s="31">
        <v>1055417.33333333</v>
      </c>
      <c r="N188" s="30">
        <v>109022.5</v>
      </c>
      <c r="O188" s="32">
        <f t="shared" si="22"/>
        <v>2767186.4666666705</v>
      </c>
      <c r="P188" s="37">
        <f>25207.3+101.6</f>
        <v>25308.899999999998</v>
      </c>
      <c r="Q188" s="32">
        <f>3304848.7+8223.2+78086.9</f>
        <v>3391158.8000000003</v>
      </c>
      <c r="R188" s="32">
        <v>155.5</v>
      </c>
      <c r="S188" s="30">
        <f t="shared" si="28"/>
        <v>3416623.2</v>
      </c>
      <c r="T188" s="34">
        <f t="shared" si="24"/>
        <v>6183809.6666666707</v>
      </c>
      <c r="U188" s="30">
        <f t="shared" si="35"/>
        <v>5589306.1666666707</v>
      </c>
    </row>
    <row r="189" spans="1:21" s="36" customFormat="1" ht="18">
      <c r="A189" s="42" t="s">
        <v>80</v>
      </c>
      <c r="B189" s="31">
        <f>400217.3-680857</f>
        <v>-280639.7</v>
      </c>
      <c r="C189" s="31">
        <f>190422.1-494952.9</f>
        <v>-304530.80000000005</v>
      </c>
      <c r="D189" s="31">
        <f>0-0</f>
        <v>0</v>
      </c>
      <c r="E189" s="30">
        <f t="shared" si="36"/>
        <v>-585170.5</v>
      </c>
      <c r="F189" s="31">
        <v>0</v>
      </c>
      <c r="G189" s="31">
        <f>278906.5+1595305.7+100+215081.3</f>
        <v>2089393.5</v>
      </c>
      <c r="H189" s="31"/>
      <c r="I189" s="31">
        <f>20802.9+105453.6+0+76116.6+0+11776.6+0+0+150000+120000+39650.2+300000+94652.5</f>
        <v>918452.4</v>
      </c>
      <c r="J189" s="31">
        <v>0</v>
      </c>
      <c r="K189" s="31">
        <f>669762.3+266435.7</f>
        <v>936198</v>
      </c>
      <c r="L189" s="32">
        <f t="shared" si="37"/>
        <v>3944043.9</v>
      </c>
      <c r="M189" s="31">
        <v>1217275</v>
      </c>
      <c r="N189" s="30">
        <v>92302.1</v>
      </c>
      <c r="O189" s="32">
        <f t="shared" si="22"/>
        <v>2634466.7999999998</v>
      </c>
      <c r="P189" s="37">
        <f>25276.5+101.6</f>
        <v>25378.1</v>
      </c>
      <c r="Q189" s="32">
        <f>3372551.6+9446.9+85726.7</f>
        <v>3467725.2</v>
      </c>
      <c r="R189" s="32">
        <v>301.89999999999998</v>
      </c>
      <c r="S189" s="30">
        <f t="shared" si="28"/>
        <v>3493405.2</v>
      </c>
      <c r="T189" s="34">
        <f t="shared" si="24"/>
        <v>6127872</v>
      </c>
      <c r="U189" s="30">
        <f t="shared" si="35"/>
        <v>5542701.5</v>
      </c>
    </row>
    <row r="190" spans="1:21" s="36" customFormat="1" ht="18">
      <c r="A190" s="42" t="s">
        <v>81</v>
      </c>
      <c r="B190" s="31">
        <f>302317.9-681328</f>
        <v>-379010.1</v>
      </c>
      <c r="C190" s="31">
        <f>197729.7-550781.5</f>
        <v>-353051.8</v>
      </c>
      <c r="D190" s="31">
        <f>0-114.7</f>
        <v>-114.7</v>
      </c>
      <c r="E190" s="30">
        <f t="shared" si="36"/>
        <v>-732176.59999999986</v>
      </c>
      <c r="F190" s="31">
        <v>0</v>
      </c>
      <c r="G190" s="31">
        <f>326982.5+1625464.2+100+113469.3</f>
        <v>2066016</v>
      </c>
      <c r="H190" s="31"/>
      <c r="I190" s="31">
        <f>20216.1+107632.3+0+76116.6+0+13154.3+0+0+150000+120000+0+300000+94652.5</f>
        <v>881771.8</v>
      </c>
      <c r="J190" s="31">
        <v>0</v>
      </c>
      <c r="K190" s="31">
        <f>668195.2+266435.7</f>
        <v>934630.89999999991</v>
      </c>
      <c r="L190" s="32">
        <f t="shared" si="37"/>
        <v>3882418.6999999997</v>
      </c>
      <c r="M190" s="31">
        <v>1015178.9</v>
      </c>
      <c r="N190" s="30">
        <v>106641.4</v>
      </c>
      <c r="O190" s="32">
        <f t="shared" si="22"/>
        <v>2760598.4</v>
      </c>
      <c r="P190" s="37">
        <f>24812.1+101.6</f>
        <v>24913.699999999997</v>
      </c>
      <c r="Q190" s="32">
        <f>3454895.7+11285.9+86239.6</f>
        <v>3552421.2</v>
      </c>
      <c r="R190" s="32">
        <v>293.3</v>
      </c>
      <c r="S190" s="30">
        <f t="shared" si="28"/>
        <v>3577628.2</v>
      </c>
      <c r="T190" s="34">
        <f t="shared" si="24"/>
        <v>6338226.5999999996</v>
      </c>
      <c r="U190" s="30">
        <f t="shared" si="35"/>
        <v>5606050</v>
      </c>
    </row>
    <row r="191" spans="1:21" s="36" customFormat="1" ht="18">
      <c r="A191" s="42" t="s">
        <v>82</v>
      </c>
      <c r="B191" s="31">
        <f>161654.2-760083.8</f>
        <v>-598429.60000000009</v>
      </c>
      <c r="C191" s="31">
        <f>281692.6-700437.6</f>
        <v>-418745</v>
      </c>
      <c r="D191" s="31">
        <f>0-229.4</f>
        <v>-229.4</v>
      </c>
      <c r="E191" s="30">
        <f t="shared" si="36"/>
        <v>-1017404.0000000001</v>
      </c>
      <c r="F191" s="31">
        <v>123094.8</v>
      </c>
      <c r="G191" s="31">
        <f>318298.3+1563886.1+100+113531.3</f>
        <v>1995815.7000000002</v>
      </c>
      <c r="H191" s="31"/>
      <c r="I191" s="31">
        <f>18645+129325.5+0+76116.6+0+5668.4+0+0+150000+0+0+300000+94652.5</f>
        <v>774408</v>
      </c>
      <c r="J191" s="31">
        <v>0</v>
      </c>
      <c r="K191" s="31">
        <f>666986.1+266435.3</f>
        <v>933421.39999999991</v>
      </c>
      <c r="L191" s="32">
        <f>+SUM(F191:K191)</f>
        <v>3826739.9</v>
      </c>
      <c r="M191" s="31">
        <v>1058392.1000000001</v>
      </c>
      <c r="N191" s="30">
        <v>108214.8</v>
      </c>
      <c r="O191" s="32">
        <f t="shared" si="22"/>
        <v>2660133</v>
      </c>
      <c r="P191" s="37">
        <f>25619.4+101.6</f>
        <v>25721</v>
      </c>
      <c r="Q191" s="32">
        <f>3619806.2+13057.9+88825.7</f>
        <v>3721689.8000000003</v>
      </c>
      <c r="R191" s="32">
        <v>320.8</v>
      </c>
      <c r="S191" s="30">
        <f t="shared" si="28"/>
        <v>3747731.6</v>
      </c>
      <c r="T191" s="34">
        <f t="shared" si="24"/>
        <v>6407864.5999999996</v>
      </c>
      <c r="U191" s="30">
        <f>SUM(E191,T191)</f>
        <v>5390460.5999999996</v>
      </c>
    </row>
    <row r="192" spans="1:21" s="36" customFormat="1" ht="18">
      <c r="A192" s="42" t="s">
        <v>83</v>
      </c>
      <c r="B192" s="31">
        <f>348849.5-881741.5</f>
        <v>-532892</v>
      </c>
      <c r="C192" s="31">
        <f>223020.3-682090.8</f>
        <v>-459070.50000000006</v>
      </c>
      <c r="D192" s="31">
        <f>0-344.1</f>
        <v>-344.1</v>
      </c>
      <c r="E192" s="30">
        <f t="shared" si="36"/>
        <v>-992306.6</v>
      </c>
      <c r="F192" s="31">
        <v>314986.5</v>
      </c>
      <c r="G192" s="31">
        <f>306336.2+1585479.9+100+120309.4</f>
        <v>2012225.4999999998</v>
      </c>
      <c r="H192" s="31"/>
      <c r="I192" s="31">
        <f>24754.1+76116.6+0+0+0+0+150000+300000+94652.5+127763.5+0</f>
        <v>773286.7</v>
      </c>
      <c r="J192" s="31">
        <v>0</v>
      </c>
      <c r="K192" s="31">
        <f>663830.6+266435.9</f>
        <v>930266.5</v>
      </c>
      <c r="L192" s="32">
        <f t="shared" ref="L192:L197" si="38">+SUM(F192:K192)</f>
        <v>4030765.2</v>
      </c>
      <c r="M192" s="31">
        <v>1101488.7</v>
      </c>
      <c r="N192" s="30">
        <v>182718.6</v>
      </c>
      <c r="O192" s="32">
        <f t="shared" si="22"/>
        <v>2746557.9</v>
      </c>
      <c r="P192" s="37">
        <f>25542.6+101.6</f>
        <v>25644.199999999997</v>
      </c>
      <c r="Q192" s="32">
        <f>3680801.2+14829.9+98320.8</f>
        <v>3793951.9</v>
      </c>
      <c r="R192" s="32">
        <v>277.5</v>
      </c>
      <c r="S192" s="30">
        <f t="shared" si="28"/>
        <v>3819873.6</v>
      </c>
      <c r="T192" s="34">
        <f t="shared" si="24"/>
        <v>6566431.5</v>
      </c>
      <c r="U192" s="30">
        <f t="shared" si="35"/>
        <v>5574124.9000000004</v>
      </c>
    </row>
    <row r="193" spans="1:23" s="36" customFormat="1" ht="18">
      <c r="A193" s="42" t="s">
        <v>84</v>
      </c>
      <c r="B193" s="31">
        <f>386587.3-975348.8</f>
        <v>-588761.5</v>
      </c>
      <c r="C193" s="31">
        <f>285671.7-746665</f>
        <v>-460993.3</v>
      </c>
      <c r="D193" s="31">
        <f>0-355.7</f>
        <v>-355.7</v>
      </c>
      <c r="E193" s="30">
        <f t="shared" si="36"/>
        <v>-1050110.5</v>
      </c>
      <c r="F193" s="31">
        <v>0</v>
      </c>
      <c r="G193" s="31">
        <f>290143.6+1589885.3+100+120619.3</f>
        <v>2000748.2</v>
      </c>
      <c r="H193" s="31"/>
      <c r="I193" s="31">
        <f>22652.9+76116.6+150000+300000+94652.5+129936.7</f>
        <v>773358.7</v>
      </c>
      <c r="J193" s="31">
        <v>0</v>
      </c>
      <c r="K193" s="31">
        <f>662262.2+266435.9+314986.5</f>
        <v>1243684.6000000001</v>
      </c>
      <c r="L193" s="32">
        <f t="shared" si="38"/>
        <v>4017791.5</v>
      </c>
      <c r="M193" s="31">
        <v>1202494.3999999999</v>
      </c>
      <c r="N193" s="30">
        <v>157582.20000000001</v>
      </c>
      <c r="O193" s="32">
        <f t="shared" si="22"/>
        <v>2657714.9</v>
      </c>
      <c r="P193" s="37">
        <f>25455.6+101.6</f>
        <v>25557.199999999997</v>
      </c>
      <c r="Q193" s="32">
        <f>3766218.7+13823.6+110901.6</f>
        <v>3890943.9000000004</v>
      </c>
      <c r="R193" s="32">
        <v>295.10000000000002</v>
      </c>
      <c r="S193" s="30">
        <f t="shared" si="28"/>
        <v>3916796.2000000007</v>
      </c>
      <c r="T193" s="34">
        <f>SUM(O193,S193)</f>
        <v>6574511.1000000006</v>
      </c>
      <c r="U193" s="30">
        <f t="shared" si="35"/>
        <v>5524400.6000000006</v>
      </c>
    </row>
    <row r="194" spans="1:23" s="36" customFormat="1" ht="18">
      <c r="A194" s="42" t="s">
        <v>85</v>
      </c>
      <c r="B194" s="31">
        <f>231905.5-966454.9</f>
        <v>-734549.4</v>
      </c>
      <c r="C194" s="31">
        <f>242969.3-729596.9</f>
        <v>-486627.60000000003</v>
      </c>
      <c r="D194" s="31">
        <f>0-367.2</f>
        <v>-367.2</v>
      </c>
      <c r="E194" s="30">
        <f>+SUM(B194:D194)</f>
        <v>-1221544.2</v>
      </c>
      <c r="F194" s="31">
        <v>102414.2</v>
      </c>
      <c r="G194" s="31">
        <f>319715.5+1548124.8+100+120584.8</f>
        <v>1988525.1</v>
      </c>
      <c r="H194" s="31"/>
      <c r="I194" s="31">
        <f>23728.4+38341.6+150000+0+0+300000+94652.5+122774.5</f>
        <v>729497</v>
      </c>
      <c r="J194" s="31">
        <v>0</v>
      </c>
      <c r="K194" s="31">
        <f>660693.3+266435.9+314986.5</f>
        <v>1242115.7000000002</v>
      </c>
      <c r="L194" s="32">
        <f t="shared" si="38"/>
        <v>4062552</v>
      </c>
      <c r="M194" s="31">
        <v>1136980.1000000001</v>
      </c>
      <c r="N194" s="30">
        <v>169713.6</v>
      </c>
      <c r="O194" s="32">
        <f t="shared" si="22"/>
        <v>2755858.3</v>
      </c>
      <c r="P194" s="37">
        <f>25872.5+101.6</f>
        <v>25974.1</v>
      </c>
      <c r="Q194" s="32">
        <f>3886187.5+12817.4+125838.3</f>
        <v>4024843.1999999997</v>
      </c>
      <c r="R194" s="32">
        <v>239.9</v>
      </c>
      <c r="S194" s="30">
        <f t="shared" si="28"/>
        <v>4051057.1999999997</v>
      </c>
      <c r="T194" s="34">
        <f t="shared" ref="T194:T199" si="39">SUM(O194,S194)</f>
        <v>6806915.5</v>
      </c>
      <c r="U194" s="30">
        <f t="shared" si="35"/>
        <v>5585371.2999999998</v>
      </c>
    </row>
    <row r="195" spans="1:23" s="36" customFormat="1" ht="18">
      <c r="A195" s="42" t="s">
        <v>86</v>
      </c>
      <c r="B195" s="31">
        <f>247173.7-948998.4</f>
        <v>-701824.7</v>
      </c>
      <c r="C195" s="31">
        <f>178751.8-710613.6</f>
        <v>-531861.80000000005</v>
      </c>
      <c r="D195" s="31">
        <f>0-378.8</f>
        <v>-378.8</v>
      </c>
      <c r="E195" s="30">
        <f t="shared" ref="E195:E199" si="40">+SUM(B195:D195)</f>
        <v>-1234065.3</v>
      </c>
      <c r="F195" s="31">
        <v>222233.2</v>
      </c>
      <c r="G195" s="31">
        <f>294107.2+1571405.7+100+120495.4</f>
        <v>1986108.2999999998</v>
      </c>
      <c r="H195" s="31"/>
      <c r="I195" s="31">
        <f>22628.3+38341.6+150000+0+0+300000+94652.5+93037.1</f>
        <v>698659.5</v>
      </c>
      <c r="J195" s="31">
        <v>0</v>
      </c>
      <c r="K195" s="31">
        <f>659764+266435.9+314986.5</f>
        <v>1241186.3999999999</v>
      </c>
      <c r="L195" s="32">
        <f t="shared" si="38"/>
        <v>4148187.4</v>
      </c>
      <c r="M195" s="31">
        <v>1123320.8999999999</v>
      </c>
      <c r="N195" s="30">
        <v>168824.2</v>
      </c>
      <c r="O195" s="32">
        <f t="shared" si="22"/>
        <v>2856042.3</v>
      </c>
      <c r="P195" s="37">
        <f>26094.3+101.6</f>
        <v>26195.899999999998</v>
      </c>
      <c r="Q195" s="32">
        <f>4173217.7+11811.1+112329.6</f>
        <v>4297358.4000000004</v>
      </c>
      <c r="R195" s="32">
        <v>1209.8000000000002</v>
      </c>
      <c r="S195" s="30">
        <f t="shared" si="28"/>
        <v>4324764.1000000006</v>
      </c>
      <c r="T195" s="34">
        <f t="shared" si="39"/>
        <v>7180806.4000000004</v>
      </c>
      <c r="U195" s="30">
        <f t="shared" si="35"/>
        <v>5946741.1000000006</v>
      </c>
    </row>
    <row r="196" spans="1:23" s="36" customFormat="1" ht="18">
      <c r="A196" s="42" t="s">
        <v>87</v>
      </c>
      <c r="B196" s="31">
        <f>295850.7-951865.4</f>
        <v>-656014.69999999995</v>
      </c>
      <c r="C196" s="31">
        <f>200322.8-739980.7</f>
        <v>-539657.89999999991</v>
      </c>
      <c r="D196" s="31">
        <f>0-378.8</f>
        <v>-378.8</v>
      </c>
      <c r="E196" s="30">
        <f t="shared" si="40"/>
        <v>-1196051.3999999999</v>
      </c>
      <c r="F196" s="31">
        <v>248030.1</v>
      </c>
      <c r="G196" s="31">
        <f>341797.7+1554285.3+100+120008.6</f>
        <v>2016191.6</v>
      </c>
      <c r="H196" s="31"/>
      <c r="I196" s="31">
        <f>22628.3+38341.6+150000+0+0+200000+94652.5+118569.7</f>
        <v>624192.1</v>
      </c>
      <c r="J196" s="31">
        <v>0</v>
      </c>
      <c r="K196" s="31">
        <f>659124.1+266435.9+314986.5</f>
        <v>1240546.5</v>
      </c>
      <c r="L196" s="32">
        <f t="shared" si="38"/>
        <v>4128960.3000000003</v>
      </c>
      <c r="M196" s="31">
        <v>1108702.8999999999</v>
      </c>
      <c r="N196" s="30">
        <v>184226.7</v>
      </c>
      <c r="O196" s="32">
        <f t="shared" si="22"/>
        <v>2836030.7</v>
      </c>
      <c r="P196" s="37">
        <f>24166.6+101.6</f>
        <v>24268.199999999997</v>
      </c>
      <c r="Q196" s="32">
        <f>4230031.9+11811.1+128069.9</f>
        <v>4369912.9000000004</v>
      </c>
      <c r="R196" s="32">
        <v>1135.1999999999998</v>
      </c>
      <c r="S196" s="30">
        <f t="shared" si="28"/>
        <v>4395316.3000000007</v>
      </c>
      <c r="T196" s="34">
        <f t="shared" si="39"/>
        <v>7231347.0000000009</v>
      </c>
      <c r="U196" s="30">
        <f t="shared" si="35"/>
        <v>6035295.6000000015</v>
      </c>
    </row>
    <row r="197" spans="1:23" s="36" customFormat="1" ht="18">
      <c r="A197" s="42" t="s">
        <v>88</v>
      </c>
      <c r="B197" s="31">
        <f>409008-970253.4</f>
        <v>-561245.4</v>
      </c>
      <c r="C197" s="31">
        <f>215883.3-809965.5</f>
        <v>-594082.19999999995</v>
      </c>
      <c r="D197" s="31">
        <f>0-378.8</f>
        <v>-378.8</v>
      </c>
      <c r="E197" s="30">
        <f t="shared" si="40"/>
        <v>-1155706.4000000001</v>
      </c>
      <c r="F197" s="31">
        <v>178920.7</v>
      </c>
      <c r="G197" s="31">
        <f>340214.7+1555762.8+100+117344.6</f>
        <v>2013422.1</v>
      </c>
      <c r="H197" s="31"/>
      <c r="I197" s="31">
        <f>22628.3+38341.6+150000+0+0+200000+94652.5+121512.7</f>
        <v>627135.1</v>
      </c>
      <c r="J197" s="31">
        <v>0</v>
      </c>
      <c r="K197" s="31">
        <f>659124.1+266435.9+314986.5</f>
        <v>1240546.5</v>
      </c>
      <c r="L197" s="32">
        <f t="shared" si="38"/>
        <v>4060024.4000000004</v>
      </c>
      <c r="M197" s="31">
        <v>1134346.8999999999</v>
      </c>
      <c r="N197" s="30">
        <v>172578.9</v>
      </c>
      <c r="O197" s="32">
        <f t="shared" si="22"/>
        <v>2753098.6000000006</v>
      </c>
      <c r="P197" s="37">
        <f>25414.1+103.8</f>
        <v>25517.899999999998</v>
      </c>
      <c r="Q197" s="32">
        <f>4259504.3+11811.1+127578.6</f>
        <v>4398893.9999999991</v>
      </c>
      <c r="R197" s="32">
        <v>1121.9000000000001</v>
      </c>
      <c r="S197" s="30">
        <f>SUM(P197:R197)</f>
        <v>4425533.8</v>
      </c>
      <c r="T197" s="34">
        <f t="shared" si="39"/>
        <v>7178632.4000000004</v>
      </c>
      <c r="U197" s="30">
        <f t="shared" si="35"/>
        <v>6022926</v>
      </c>
    </row>
    <row r="198" spans="1:23" s="36" customFormat="1" ht="18">
      <c r="A198" s="42" t="s">
        <v>91</v>
      </c>
      <c r="B198" s="31">
        <f>324181.7-975295.3</f>
        <v>-651113.60000000009</v>
      </c>
      <c r="C198" s="31">
        <f>344987.3-787413.8</f>
        <v>-442426.50000000006</v>
      </c>
      <c r="D198" s="31">
        <f>0-378.8</f>
        <v>-378.8</v>
      </c>
      <c r="E198" s="30">
        <f t="shared" si="40"/>
        <v>-1093918.9000000001</v>
      </c>
      <c r="F198" s="31">
        <v>99394.5</v>
      </c>
      <c r="G198" s="31">
        <f>423718.8+1529840.4+100+112845.9</f>
        <v>2066505.0999999999</v>
      </c>
      <c r="H198" s="31"/>
      <c r="I198" s="31">
        <f>22628.3+125355+0+38341.6+0+0+0+0+100000+0+0+200000+328306.3</f>
        <v>814631.2</v>
      </c>
      <c r="J198" s="31">
        <v>0</v>
      </c>
      <c r="K198" s="31">
        <f>657215.8+266435.8+314986.5</f>
        <v>1238638.1000000001</v>
      </c>
      <c r="L198" s="32">
        <f>+SUM(F198:K198)</f>
        <v>4219168.9000000004</v>
      </c>
      <c r="M198" s="31">
        <v>1078925</v>
      </c>
      <c r="N198" s="30">
        <v>172112.7</v>
      </c>
      <c r="O198" s="32">
        <f>+L198-M198-N198</f>
        <v>2968131.2</v>
      </c>
      <c r="P198" s="37">
        <f>24081.1+103.8</f>
        <v>24184.899999999998</v>
      </c>
      <c r="Q198" s="32">
        <f>4283161+11811.1+136010.9</f>
        <v>4430983</v>
      </c>
      <c r="R198" s="32">
        <v>1112.6000000000001</v>
      </c>
      <c r="S198" s="30">
        <f t="shared" si="28"/>
        <v>4456280.5</v>
      </c>
      <c r="T198" s="34">
        <f t="shared" si="39"/>
        <v>7424411.7000000002</v>
      </c>
      <c r="U198" s="30">
        <f t="shared" si="35"/>
        <v>6330492.7999999998</v>
      </c>
    </row>
    <row r="199" spans="1:23" s="36" customFormat="1" ht="18">
      <c r="A199" s="42" t="s">
        <v>97</v>
      </c>
      <c r="B199" s="31">
        <f>350704.8-971331.9</f>
        <v>-620627.10000000009</v>
      </c>
      <c r="C199" s="31">
        <f>241278.1-853100.5</f>
        <v>-611822.4</v>
      </c>
      <c r="D199" s="31">
        <f>0-378.8</f>
        <v>-378.8</v>
      </c>
      <c r="E199" s="30">
        <f t="shared" si="40"/>
        <v>-1232828.3</v>
      </c>
      <c r="F199" s="31">
        <v>7942.5</v>
      </c>
      <c r="G199" s="31">
        <f>411125.3+1569507.6+100+111945.9</f>
        <v>2092678.8</v>
      </c>
      <c r="H199" s="31"/>
      <c r="I199" s="31">
        <f>22628.3+38341.6+0+0+0+0+100000+0+0+200000+328306.3+128386.1+0</f>
        <v>817662.29999999993</v>
      </c>
      <c r="J199" s="31">
        <v>0</v>
      </c>
      <c r="K199" s="31">
        <f>655214.1+266435.9+314986.5</f>
        <v>1236636.5</v>
      </c>
      <c r="L199" s="32">
        <f>+SUM(F199:K199)</f>
        <v>4154920.0999999996</v>
      </c>
      <c r="M199" s="31">
        <v>1086876.1000000001</v>
      </c>
      <c r="N199" s="30">
        <v>158605.20000000001</v>
      </c>
      <c r="O199" s="32">
        <f>+L199-M199-N199</f>
        <v>2909438.7999999993</v>
      </c>
      <c r="P199" s="37">
        <f>23887.9+103.8</f>
        <v>23991.7</v>
      </c>
      <c r="Q199" s="32">
        <f>4323472.9+11811.1+133225.3</f>
        <v>4468509.3</v>
      </c>
      <c r="R199" s="32">
        <v>1094.9999999999998</v>
      </c>
      <c r="S199" s="30">
        <f t="shared" si="28"/>
        <v>4493596</v>
      </c>
      <c r="T199" s="34">
        <f t="shared" si="39"/>
        <v>7403034.7999999989</v>
      </c>
      <c r="U199" s="30">
        <f t="shared" si="35"/>
        <v>6170206.4999999991</v>
      </c>
    </row>
    <row r="200" spans="1:23" s="40" customFormat="1" ht="15.75">
      <c r="A200" s="44" t="s">
        <v>45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6"/>
      <c r="W200" s="36"/>
    </row>
    <row r="201" spans="1:23" s="36" customFormat="1" ht="15.75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9"/>
    </row>
  </sheetData>
  <mergeCells count="10">
    <mergeCell ref="F2:H2"/>
    <mergeCell ref="F5:O5"/>
    <mergeCell ref="P5:S5"/>
    <mergeCell ref="F4:O4"/>
    <mergeCell ref="P4:T4"/>
    <mergeCell ref="A200:U201"/>
    <mergeCell ref="T5:T6"/>
    <mergeCell ref="U4:U6"/>
    <mergeCell ref="B4:E5"/>
    <mergeCell ref="A4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2"/>
  <sheetViews>
    <sheetView zoomScale="80" zoomScaleNormal="80" workbookViewId="0">
      <pane xSplit="1" ySplit="6" topLeftCell="Q55" activePane="bottomRight" state="frozen"/>
      <selection pane="topRight" activeCell="B1" sqref="B1"/>
      <selection pane="bottomLeft" activeCell="A7" sqref="A7"/>
      <selection pane="bottomRight" activeCell="R69" sqref="R69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64" t="s">
        <v>55</v>
      </c>
      <c r="F2" s="64"/>
      <c r="G2" s="64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1" t="s">
        <v>46</v>
      </c>
      <c r="B4" s="55" t="s">
        <v>3</v>
      </c>
      <c r="C4" s="56"/>
      <c r="D4" s="56"/>
      <c r="E4" s="57"/>
      <c r="F4" s="65" t="s">
        <v>4</v>
      </c>
      <c r="G4" s="66"/>
      <c r="H4" s="66"/>
      <c r="I4" s="66"/>
      <c r="J4" s="66"/>
      <c r="K4" s="66"/>
      <c r="L4" s="66"/>
      <c r="M4" s="66"/>
      <c r="N4" s="66"/>
      <c r="O4" s="67"/>
      <c r="P4" s="65"/>
      <c r="Q4" s="66"/>
      <c r="R4" s="66"/>
      <c r="S4" s="66"/>
      <c r="T4" s="66"/>
      <c r="U4" s="52" t="s">
        <v>21</v>
      </c>
      <c r="V4" s="23"/>
    </row>
    <row r="5" spans="1:16382" s="24" customFormat="1" ht="18">
      <c r="A5" s="62"/>
      <c r="B5" s="58"/>
      <c r="C5" s="59"/>
      <c r="D5" s="59"/>
      <c r="E5" s="60"/>
      <c r="F5" s="65" t="s">
        <v>22</v>
      </c>
      <c r="G5" s="66"/>
      <c r="H5" s="66"/>
      <c r="I5" s="66"/>
      <c r="J5" s="66"/>
      <c r="K5" s="66"/>
      <c r="L5" s="66"/>
      <c r="M5" s="66"/>
      <c r="N5" s="66"/>
      <c r="O5" s="67"/>
      <c r="P5" s="65" t="s">
        <v>7</v>
      </c>
      <c r="Q5" s="66"/>
      <c r="R5" s="66"/>
      <c r="S5" s="66"/>
      <c r="T5" s="50" t="s">
        <v>0</v>
      </c>
      <c r="U5" s="53"/>
      <c r="V5" s="25"/>
    </row>
    <row r="6" spans="1:16382" s="24" customFormat="1" ht="126">
      <c r="A6" s="63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1"/>
      <c r="U6" s="54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1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1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1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58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58" si="16">SUM(O51,S51)</f>
        <v>2456444.2000000002</v>
      </c>
      <c r="U51" s="30">
        <f t="shared" ref="U51:U58" si="17">SUM(E51,T51)</f>
        <v>2227041.1</v>
      </c>
    </row>
    <row r="52" spans="1:21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1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1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1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1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1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1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1" s="36" customFormat="1" ht="15.75">
      <c r="A59" s="41">
        <v>44286</v>
      </c>
      <c r="B59" s="31">
        <v>-119123.90000000002</v>
      </c>
      <c r="C59" s="31">
        <v>-108593.39999999997</v>
      </c>
      <c r="D59" s="31">
        <v>-81.7</v>
      </c>
      <c r="E59" s="30">
        <v>-227799</v>
      </c>
      <c r="F59" s="31">
        <v>0</v>
      </c>
      <c r="G59" s="31">
        <v>1648781.3</v>
      </c>
      <c r="H59" s="31"/>
      <c r="I59" s="31">
        <v>328747.7</v>
      </c>
      <c r="J59" s="31">
        <v>4134.6000000000004</v>
      </c>
      <c r="K59" s="31">
        <v>703262.9</v>
      </c>
      <c r="L59" s="32">
        <v>2684926.5</v>
      </c>
      <c r="M59" s="31">
        <v>570127</v>
      </c>
      <c r="N59" s="30">
        <v>79893.7</v>
      </c>
      <c r="O59" s="32">
        <v>2034905.8</v>
      </c>
      <c r="P59" s="37">
        <v>24688.199999999997</v>
      </c>
      <c r="Q59" s="32">
        <v>1524807.0000000002</v>
      </c>
      <c r="R59" s="32">
        <v>734.60000000000014</v>
      </c>
      <c r="S59" s="30">
        <v>1550229.8000000003</v>
      </c>
      <c r="T59" s="34">
        <v>3585135.6000000006</v>
      </c>
      <c r="U59" s="30">
        <v>3357336.6000000006</v>
      </c>
    </row>
    <row r="60" spans="1:21" s="36" customFormat="1" ht="15.75">
      <c r="A60" s="41">
        <v>44377</v>
      </c>
      <c r="B60" s="31">
        <v>-114588.4</v>
      </c>
      <c r="C60" s="31">
        <v>-190802.4</v>
      </c>
      <c r="D60" s="31">
        <v>-118</v>
      </c>
      <c r="E60" s="30">
        <v>-305508.8</v>
      </c>
      <c r="F60" s="31">
        <v>57076.7</v>
      </c>
      <c r="G60" s="31">
        <v>1719227.5999999999</v>
      </c>
      <c r="H60" s="31"/>
      <c r="I60" s="31">
        <v>347225.00000000006</v>
      </c>
      <c r="J60" s="31">
        <v>0</v>
      </c>
      <c r="K60" s="31">
        <v>701028.8</v>
      </c>
      <c r="L60" s="32">
        <v>2824558.0999999996</v>
      </c>
      <c r="M60" s="31">
        <v>625806.5</v>
      </c>
      <c r="N60" s="30">
        <v>82601.5</v>
      </c>
      <c r="O60" s="32">
        <v>2116150.0999999996</v>
      </c>
      <c r="P60" s="37">
        <v>26228.6</v>
      </c>
      <c r="Q60" s="32">
        <v>1724195.7</v>
      </c>
      <c r="R60" s="32">
        <v>5539.4</v>
      </c>
      <c r="S60" s="30">
        <v>1755963.7</v>
      </c>
      <c r="T60" s="34">
        <v>3872113.8</v>
      </c>
      <c r="U60" s="30">
        <v>3566605</v>
      </c>
    </row>
    <row r="61" spans="1:21" s="36" customFormat="1" ht="15.75">
      <c r="A61" s="41">
        <v>44469</v>
      </c>
      <c r="B61" s="31">
        <v>-150538.59999999998</v>
      </c>
      <c r="C61" s="31">
        <v>-254415.30000000002</v>
      </c>
      <c r="D61" s="31">
        <v>-210</v>
      </c>
      <c r="E61" s="30">
        <v>-405163.9</v>
      </c>
      <c r="F61" s="31">
        <v>0</v>
      </c>
      <c r="G61" s="31">
        <v>1831324.1</v>
      </c>
      <c r="H61" s="31"/>
      <c r="I61" s="31">
        <v>347172.2</v>
      </c>
      <c r="J61" s="31">
        <v>0</v>
      </c>
      <c r="K61" s="31">
        <v>697339.3</v>
      </c>
      <c r="L61" s="32">
        <v>2875835.6000000006</v>
      </c>
      <c r="M61" s="31">
        <v>649481.6</v>
      </c>
      <c r="N61" s="30">
        <v>82805.899999999994</v>
      </c>
      <c r="O61" s="32">
        <v>2143548.1000000006</v>
      </c>
      <c r="P61" s="37">
        <v>25714.199999999997</v>
      </c>
      <c r="Q61" s="32">
        <v>2139643.5</v>
      </c>
      <c r="R61" s="32">
        <v>337.9</v>
      </c>
      <c r="S61" s="30">
        <v>2165695.6</v>
      </c>
      <c r="T61" s="34">
        <v>4309243.7000000011</v>
      </c>
      <c r="U61" s="30">
        <v>3904079.8000000012</v>
      </c>
    </row>
    <row r="62" spans="1:21" s="36" customFormat="1" ht="15.75">
      <c r="A62" s="41">
        <v>44561</v>
      </c>
      <c r="B62" s="31">
        <v>-141348.09999999998</v>
      </c>
      <c r="C62" s="31">
        <v>-181042.40000000002</v>
      </c>
      <c r="D62" s="31">
        <v>0</v>
      </c>
      <c r="E62" s="30">
        <v>-322390.5</v>
      </c>
      <c r="F62" s="31">
        <v>36124.9</v>
      </c>
      <c r="G62" s="31">
        <v>1816057.7</v>
      </c>
      <c r="H62" s="31"/>
      <c r="I62" s="31">
        <v>290056.7</v>
      </c>
      <c r="J62" s="31">
        <v>0</v>
      </c>
      <c r="K62" s="31">
        <v>690961.7</v>
      </c>
      <c r="L62" s="32">
        <v>2833201</v>
      </c>
      <c r="M62" s="31">
        <v>826676.3</v>
      </c>
      <c r="N62" s="30">
        <v>75800.899999999994</v>
      </c>
      <c r="O62" s="32">
        <v>1930723.8</v>
      </c>
      <c r="P62" s="37">
        <v>25121</v>
      </c>
      <c r="Q62" s="32">
        <v>2351611.3000000003</v>
      </c>
      <c r="R62" s="32">
        <v>256.5</v>
      </c>
      <c r="S62" s="30">
        <v>2376988.8000000003</v>
      </c>
      <c r="T62" s="34">
        <v>4307712.6000000006</v>
      </c>
      <c r="U62" s="30">
        <v>3985322.1000000006</v>
      </c>
    </row>
    <row r="63" spans="1:21" s="36" customFormat="1" ht="18">
      <c r="A63" s="41" t="s">
        <v>66</v>
      </c>
      <c r="B63" s="31">
        <v>-113493.90000000002</v>
      </c>
      <c r="C63" s="31">
        <v>-194680.9</v>
      </c>
      <c r="D63" s="31">
        <v>0</v>
      </c>
      <c r="E63" s="30">
        <v>-308174.80000000005</v>
      </c>
      <c r="F63" s="31">
        <v>32028.5</v>
      </c>
      <c r="G63" s="31">
        <v>1833166.5</v>
      </c>
      <c r="H63" s="31"/>
      <c r="I63" s="31">
        <v>429373.89999999997</v>
      </c>
      <c r="J63" s="31">
        <v>0</v>
      </c>
      <c r="K63" s="31">
        <v>690433.4</v>
      </c>
      <c r="L63" s="32">
        <v>2985002.3</v>
      </c>
      <c r="M63" s="31">
        <v>950524.7</v>
      </c>
      <c r="N63" s="30">
        <v>118394.9</v>
      </c>
      <c r="O63" s="32">
        <v>1916082.7</v>
      </c>
      <c r="P63" s="37">
        <v>24010.399999999998</v>
      </c>
      <c r="Q63" s="32">
        <v>2537250.1</v>
      </c>
      <c r="R63" s="32">
        <v>238.4</v>
      </c>
      <c r="S63" s="30">
        <v>2561498.9</v>
      </c>
      <c r="T63" s="34">
        <v>4477581.5999999996</v>
      </c>
      <c r="U63" s="30">
        <v>4169406.8</v>
      </c>
    </row>
    <row r="64" spans="1:21" s="36" customFormat="1" ht="18">
      <c r="A64" s="41" t="s">
        <v>69</v>
      </c>
      <c r="B64" s="31">
        <v>-232158.59999999998</v>
      </c>
      <c r="C64" s="31">
        <v>-190483.3</v>
      </c>
      <c r="D64" s="31">
        <v>0</v>
      </c>
      <c r="E64" s="30">
        <v>-422641.89999999997</v>
      </c>
      <c r="F64" s="31">
        <v>266435.90000000002</v>
      </c>
      <c r="G64" s="31">
        <v>1777341.7</v>
      </c>
      <c r="H64" s="31"/>
      <c r="I64" s="31">
        <v>524312.9</v>
      </c>
      <c r="J64" s="31">
        <v>0</v>
      </c>
      <c r="K64" s="31">
        <v>686729.1</v>
      </c>
      <c r="L64" s="32">
        <v>3254819.6</v>
      </c>
      <c r="M64" s="31">
        <v>905749</v>
      </c>
      <c r="N64" s="30">
        <v>120078.3</v>
      </c>
      <c r="O64" s="32">
        <v>2228992.3000000003</v>
      </c>
      <c r="P64" s="37">
        <v>24195.1</v>
      </c>
      <c r="Q64" s="32">
        <v>2882825.3</v>
      </c>
      <c r="R64" s="32">
        <v>6839.5000000000009</v>
      </c>
      <c r="S64" s="30">
        <v>2913859.9</v>
      </c>
      <c r="T64" s="34">
        <v>5142852.2</v>
      </c>
      <c r="U64" s="30">
        <v>4720210.3</v>
      </c>
    </row>
    <row r="65" spans="1:22" s="36" customFormat="1" ht="18">
      <c r="A65" s="43" t="s">
        <v>71</v>
      </c>
      <c r="B65" s="31">
        <v>-252190.40000000002</v>
      </c>
      <c r="C65" s="31">
        <v>-326772.79999999993</v>
      </c>
      <c r="D65" s="31">
        <v>0</v>
      </c>
      <c r="E65" s="30">
        <v>-578963.19999999995</v>
      </c>
      <c r="F65" s="31">
        <v>82611.8</v>
      </c>
      <c r="G65" s="31">
        <v>1832259.9</v>
      </c>
      <c r="H65" s="31"/>
      <c r="I65" s="31">
        <v>812437.6</v>
      </c>
      <c r="J65" s="31">
        <v>0</v>
      </c>
      <c r="K65" s="31">
        <v>956869.3</v>
      </c>
      <c r="L65" s="32">
        <v>3684178.5999999996</v>
      </c>
      <c r="M65" s="31">
        <v>1027904.5</v>
      </c>
      <c r="N65" s="30">
        <v>123234.2</v>
      </c>
      <c r="O65" s="32">
        <v>2533039.8999999994</v>
      </c>
      <c r="P65" s="37">
        <v>24189.1</v>
      </c>
      <c r="Q65" s="32">
        <v>3203720.8</v>
      </c>
      <c r="R65" s="32">
        <v>829.2</v>
      </c>
      <c r="S65" s="30">
        <v>3228739.1</v>
      </c>
      <c r="T65" s="34">
        <v>5761779</v>
      </c>
      <c r="U65" s="30">
        <v>5182815.8</v>
      </c>
    </row>
    <row r="66" spans="1:22" s="36" customFormat="1" ht="18">
      <c r="A66" s="43" t="s">
        <v>72</v>
      </c>
      <c r="B66" s="31">
        <v>-252046.90000000002</v>
      </c>
      <c r="C66" s="31">
        <v>-309521.5</v>
      </c>
      <c r="D66" s="31">
        <v>-357.9</v>
      </c>
      <c r="E66" s="30">
        <f t="shared" ref="E66" si="28">+SUM(B66:D66)</f>
        <v>-561926.30000000005</v>
      </c>
      <c r="F66" s="31">
        <v>3346.5</v>
      </c>
      <c r="G66" s="31">
        <v>1994536.9</v>
      </c>
      <c r="H66" s="31"/>
      <c r="I66" s="31">
        <v>875209.5</v>
      </c>
      <c r="J66" s="31">
        <v>0</v>
      </c>
      <c r="K66" s="31">
        <v>941229</v>
      </c>
      <c r="L66" s="32">
        <v>3814321.9</v>
      </c>
      <c r="M66" s="31">
        <v>1152725.8999999999</v>
      </c>
      <c r="N66" s="30">
        <v>128898.4</v>
      </c>
      <c r="O66" s="32">
        <v>2532697.6</v>
      </c>
      <c r="P66" s="37">
        <v>23718</v>
      </c>
      <c r="Q66" s="32">
        <v>3388341.2</v>
      </c>
      <c r="R66" s="32">
        <v>167.9</v>
      </c>
      <c r="S66" s="30">
        <v>3412227.1</v>
      </c>
      <c r="T66" s="34">
        <v>5944924.7000000002</v>
      </c>
      <c r="U66" s="30">
        <f t="shared" ref="U66" si="29">SUM(E66,T66)</f>
        <v>5382998.4000000004</v>
      </c>
    </row>
    <row r="67" spans="1:22" s="36" customFormat="1" ht="18">
      <c r="A67" s="43" t="s">
        <v>93</v>
      </c>
      <c r="B67" s="31">
        <v>-280639.7</v>
      </c>
      <c r="C67" s="31">
        <v>-304530.80000000005</v>
      </c>
      <c r="D67" s="31">
        <v>0</v>
      </c>
      <c r="E67" s="30">
        <v>-585170.5</v>
      </c>
      <c r="F67" s="31">
        <v>0</v>
      </c>
      <c r="G67" s="31">
        <v>2089393.5</v>
      </c>
      <c r="H67" s="31"/>
      <c r="I67" s="31">
        <v>918452.4</v>
      </c>
      <c r="J67" s="31">
        <v>0</v>
      </c>
      <c r="K67" s="31">
        <v>936198</v>
      </c>
      <c r="L67" s="32">
        <v>3944043.9</v>
      </c>
      <c r="M67" s="31">
        <v>1217275</v>
      </c>
      <c r="N67" s="30">
        <v>92302.1</v>
      </c>
      <c r="O67" s="32">
        <v>2634466.7999999998</v>
      </c>
      <c r="P67" s="37">
        <v>25378.1</v>
      </c>
      <c r="Q67" s="32">
        <v>3468402.1</v>
      </c>
      <c r="R67" s="32">
        <v>301.89999999999998</v>
      </c>
      <c r="S67" s="30">
        <v>3494082.1</v>
      </c>
      <c r="T67" s="34">
        <v>6128548.9000000004</v>
      </c>
      <c r="U67" s="30">
        <v>5543378.4000000004</v>
      </c>
    </row>
    <row r="68" spans="1:22" s="36" customFormat="1" ht="18">
      <c r="A68" s="43" t="s">
        <v>94</v>
      </c>
      <c r="B68" s="31">
        <v>-532892</v>
      </c>
      <c r="C68" s="31">
        <v>-459070.50000000006</v>
      </c>
      <c r="D68" s="31">
        <v>-344.1</v>
      </c>
      <c r="E68" s="30">
        <v>-992306.6</v>
      </c>
      <c r="F68" s="31">
        <v>314986.5</v>
      </c>
      <c r="G68" s="31">
        <v>2012225.4999999998</v>
      </c>
      <c r="H68" s="31"/>
      <c r="I68" s="31">
        <v>773286.7</v>
      </c>
      <c r="J68" s="31">
        <v>0</v>
      </c>
      <c r="K68" s="31">
        <v>930266.5</v>
      </c>
      <c r="L68" s="32">
        <v>4030765.2</v>
      </c>
      <c r="M68" s="31">
        <v>1101488.7</v>
      </c>
      <c r="N68" s="30">
        <v>182718.6</v>
      </c>
      <c r="O68" s="32">
        <v>2746557.9</v>
      </c>
      <c r="P68" s="37">
        <v>25644.199999999997</v>
      </c>
      <c r="Q68" s="32">
        <v>3793951.9</v>
      </c>
      <c r="R68" s="32">
        <v>277.5</v>
      </c>
      <c r="S68" s="30">
        <v>3819873.6</v>
      </c>
      <c r="T68" s="34">
        <v>6566431.5</v>
      </c>
      <c r="U68" s="30">
        <v>5574124.9000000004</v>
      </c>
    </row>
    <row r="69" spans="1:22" s="36" customFormat="1" ht="18">
      <c r="A69" s="43" t="s">
        <v>95</v>
      </c>
      <c r="B69" s="31">
        <v>-701824.7</v>
      </c>
      <c r="C69" s="31">
        <v>-531861.80000000005</v>
      </c>
      <c r="D69" s="31">
        <v>-378.8</v>
      </c>
      <c r="E69" s="30">
        <v>-1234065.3</v>
      </c>
      <c r="F69" s="31">
        <v>222233.2</v>
      </c>
      <c r="G69" s="31">
        <v>1986108.2999999998</v>
      </c>
      <c r="H69" s="31"/>
      <c r="I69" s="31">
        <v>698659.5</v>
      </c>
      <c r="J69" s="31">
        <v>0</v>
      </c>
      <c r="K69" s="31">
        <v>1241186.3999999999</v>
      </c>
      <c r="L69" s="32">
        <v>4148187.4</v>
      </c>
      <c r="M69" s="31">
        <v>1123320.8999999999</v>
      </c>
      <c r="N69" s="30">
        <v>168824.2</v>
      </c>
      <c r="O69" s="32">
        <v>2856042.3</v>
      </c>
      <c r="P69" s="37">
        <v>26195.899999999998</v>
      </c>
      <c r="Q69" s="32">
        <v>4297358.4000000004</v>
      </c>
      <c r="R69" s="32">
        <v>1209.8000000000002</v>
      </c>
      <c r="S69" s="30">
        <v>4324764.1000000006</v>
      </c>
      <c r="T69" s="34">
        <v>7180806.4000000004</v>
      </c>
      <c r="U69" s="30">
        <v>5946741.1000000006</v>
      </c>
    </row>
    <row r="70" spans="1:22" s="36" customFormat="1" ht="18">
      <c r="A70" s="43" t="s">
        <v>96</v>
      </c>
      <c r="B70" s="31">
        <v>-651113.60000000009</v>
      </c>
      <c r="C70" s="31">
        <v>-442426.50000000006</v>
      </c>
      <c r="D70" s="31">
        <v>-378.8</v>
      </c>
      <c r="E70" s="30">
        <v>-1093918.9000000001</v>
      </c>
      <c r="F70" s="31">
        <v>99394.5</v>
      </c>
      <c r="G70" s="31">
        <v>2066505.0999999999</v>
      </c>
      <c r="H70" s="31"/>
      <c r="I70" s="31">
        <v>814631.2</v>
      </c>
      <c r="J70" s="31">
        <v>0</v>
      </c>
      <c r="K70" s="31">
        <v>1238638.1000000001</v>
      </c>
      <c r="L70" s="32">
        <v>4219168.9000000004</v>
      </c>
      <c r="M70" s="31">
        <v>1078925</v>
      </c>
      <c r="N70" s="30">
        <v>172112.7</v>
      </c>
      <c r="O70" s="32">
        <v>2968131.2</v>
      </c>
      <c r="P70" s="37">
        <v>24184.899999999998</v>
      </c>
      <c r="Q70" s="32">
        <v>4430983</v>
      </c>
      <c r="R70" s="32">
        <v>1112.6000000000001</v>
      </c>
      <c r="S70" s="30">
        <v>4456280.5</v>
      </c>
      <c r="T70" s="34">
        <v>7424411.7000000002</v>
      </c>
      <c r="U70" s="30">
        <v>6330492.7999999998</v>
      </c>
    </row>
    <row r="71" spans="1:22" s="36" customFormat="1" ht="15.75">
      <c r="A71" s="44" t="s">
        <v>45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6"/>
      <c r="V71" s="35"/>
    </row>
    <row r="72" spans="1:22" s="36" customFormat="1" ht="15.75">
      <c r="A72" s="47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35"/>
    </row>
  </sheetData>
  <mergeCells count="10">
    <mergeCell ref="U4:U6"/>
    <mergeCell ref="F5:O5"/>
    <mergeCell ref="P5:S5"/>
    <mergeCell ref="T5:T6"/>
    <mergeCell ref="A71:U72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4"/>
  <sheetViews>
    <sheetView zoomScale="80" zoomScaleNormal="80" workbookViewId="0">
      <pane xSplit="1" ySplit="6" topLeftCell="R13" activePane="bottomRight" state="frozen"/>
      <selection pane="topRight" activeCell="B1" sqref="B1"/>
      <selection pane="bottomLeft" activeCell="A7" sqref="A7"/>
      <selection pane="bottomRight" activeCell="X18" sqref="X18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64" t="s">
        <v>55</v>
      </c>
      <c r="F2" s="64"/>
      <c r="G2" s="64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1" t="s">
        <v>46</v>
      </c>
      <c r="B4" s="55" t="s">
        <v>3</v>
      </c>
      <c r="C4" s="56"/>
      <c r="D4" s="56"/>
      <c r="E4" s="57"/>
      <c r="F4" s="65" t="s">
        <v>4</v>
      </c>
      <c r="G4" s="66"/>
      <c r="H4" s="66"/>
      <c r="I4" s="66"/>
      <c r="J4" s="66"/>
      <c r="K4" s="66"/>
      <c r="L4" s="66"/>
      <c r="M4" s="66"/>
      <c r="N4" s="66"/>
      <c r="O4" s="67"/>
      <c r="P4" s="65"/>
      <c r="Q4" s="66"/>
      <c r="R4" s="66"/>
      <c r="S4" s="66"/>
      <c r="T4" s="66"/>
      <c r="U4" s="52" t="s">
        <v>21</v>
      </c>
      <c r="V4" s="23"/>
    </row>
    <row r="5" spans="1:22" s="24" customFormat="1" ht="18">
      <c r="A5" s="62"/>
      <c r="B5" s="58"/>
      <c r="C5" s="59"/>
      <c r="D5" s="59"/>
      <c r="E5" s="60"/>
      <c r="F5" s="65" t="s">
        <v>22</v>
      </c>
      <c r="G5" s="66"/>
      <c r="H5" s="66"/>
      <c r="I5" s="66"/>
      <c r="J5" s="66"/>
      <c r="K5" s="66"/>
      <c r="L5" s="66"/>
      <c r="M5" s="66"/>
      <c r="N5" s="66"/>
      <c r="O5" s="67"/>
      <c r="P5" s="65" t="s">
        <v>7</v>
      </c>
      <c r="Q5" s="66"/>
      <c r="R5" s="66"/>
      <c r="S5" s="66"/>
      <c r="T5" s="50" t="s">
        <v>0</v>
      </c>
      <c r="U5" s="53"/>
      <c r="V5" s="25"/>
    </row>
    <row r="6" spans="1:22" s="24" customFormat="1" ht="90">
      <c r="A6" s="63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1"/>
      <c r="U6" s="54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v>-141348.09999999998</v>
      </c>
      <c r="C20" s="31">
        <v>-181042.40000000002</v>
      </c>
      <c r="D20" s="31">
        <v>0</v>
      </c>
      <c r="E20" s="30">
        <v>-322390.5</v>
      </c>
      <c r="F20" s="31">
        <v>36124.9</v>
      </c>
      <c r="G20" s="31">
        <v>1816057.7</v>
      </c>
      <c r="H20" s="31"/>
      <c r="I20" s="31">
        <v>290056.7</v>
      </c>
      <c r="J20" s="31">
        <v>0</v>
      </c>
      <c r="K20" s="31">
        <v>690961.7</v>
      </c>
      <c r="L20" s="32">
        <v>2833201</v>
      </c>
      <c r="M20" s="31">
        <v>826676.3</v>
      </c>
      <c r="N20" s="30">
        <v>75800.899999999994</v>
      </c>
      <c r="O20" s="32">
        <v>1930723.8</v>
      </c>
      <c r="P20" s="37">
        <v>25121</v>
      </c>
      <c r="Q20" s="32">
        <v>2351611.3000000003</v>
      </c>
      <c r="R20" s="32">
        <v>256.5</v>
      </c>
      <c r="S20" s="30">
        <v>2376988.8000000003</v>
      </c>
      <c r="T20" s="34">
        <v>4307712.6000000006</v>
      </c>
      <c r="U20" s="30">
        <v>3985322.1000000006</v>
      </c>
    </row>
    <row r="21" spans="1:22" s="36" customFormat="1" ht="15.75">
      <c r="A21" s="38">
        <v>2022</v>
      </c>
      <c r="B21" s="31">
        <v>-252046.90000000002</v>
      </c>
      <c r="C21" s="31">
        <v>-309521.5</v>
      </c>
      <c r="D21" s="31">
        <v>-357.9</v>
      </c>
      <c r="E21" s="30">
        <f t="shared" ref="E21" si="20">+SUM(B21:D21)</f>
        <v>-561926.30000000005</v>
      </c>
      <c r="F21" s="31">
        <v>3346.5</v>
      </c>
      <c r="G21" s="31">
        <v>1994536.9</v>
      </c>
      <c r="H21" s="31"/>
      <c r="I21" s="31">
        <v>875209.5</v>
      </c>
      <c r="J21" s="31">
        <v>0</v>
      </c>
      <c r="K21" s="31">
        <v>941229</v>
      </c>
      <c r="L21" s="32">
        <v>3814321.9</v>
      </c>
      <c r="M21" s="31">
        <v>1152725.8999999999</v>
      </c>
      <c r="N21" s="30">
        <v>128898.4</v>
      </c>
      <c r="O21" s="32">
        <v>2532697.6</v>
      </c>
      <c r="P21" s="37">
        <v>23718</v>
      </c>
      <c r="Q21" s="32">
        <v>3388341.2</v>
      </c>
      <c r="R21" s="32">
        <v>167.9</v>
      </c>
      <c r="S21" s="30">
        <v>3412227.1</v>
      </c>
      <c r="T21" s="34">
        <v>5944924.7000000002</v>
      </c>
      <c r="U21" s="30">
        <f t="shared" ref="U21" si="21">SUM(E21,T21)</f>
        <v>5382998.4000000004</v>
      </c>
    </row>
    <row r="22" spans="1:22" s="36" customFormat="1" ht="15.75">
      <c r="A22" s="38" t="s">
        <v>92</v>
      </c>
      <c r="B22" s="31">
        <v>-651113.60000000009</v>
      </c>
      <c r="C22" s="31">
        <v>-442426.50000000006</v>
      </c>
      <c r="D22" s="31">
        <v>-378.8</v>
      </c>
      <c r="E22" s="30">
        <v>-1093918.9000000001</v>
      </c>
      <c r="F22" s="31">
        <v>99394.5</v>
      </c>
      <c r="G22" s="31">
        <v>2066505.0999999999</v>
      </c>
      <c r="H22" s="31"/>
      <c r="I22" s="31">
        <v>814631.2</v>
      </c>
      <c r="J22" s="31">
        <v>0</v>
      </c>
      <c r="K22" s="31">
        <v>1238638.1000000001</v>
      </c>
      <c r="L22" s="32">
        <v>4219168.9000000004</v>
      </c>
      <c r="M22" s="31">
        <v>1078925</v>
      </c>
      <c r="N22" s="30">
        <v>172112.7</v>
      </c>
      <c r="O22" s="32">
        <v>2968131.2</v>
      </c>
      <c r="P22" s="37">
        <v>24184.899999999998</v>
      </c>
      <c r="Q22" s="32">
        <v>4430983</v>
      </c>
      <c r="R22" s="32">
        <v>1112.6000000000001</v>
      </c>
      <c r="S22" s="30">
        <v>4456280.5</v>
      </c>
      <c r="T22" s="34">
        <v>7424411.7000000002</v>
      </c>
      <c r="U22" s="30">
        <v>6330492.7999999998</v>
      </c>
    </row>
    <row r="23" spans="1:22" s="36" customFormat="1" ht="15.75">
      <c r="A23" s="44" t="s">
        <v>45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35"/>
    </row>
    <row r="24" spans="1:22" s="36" customFormat="1" ht="15.7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35"/>
    </row>
  </sheetData>
  <mergeCells count="10">
    <mergeCell ref="U4:U6"/>
    <mergeCell ref="F5:O5"/>
    <mergeCell ref="P5:S5"/>
    <mergeCell ref="T5:T6"/>
    <mergeCell ref="A23:U24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NSENGIYUMVA Raissa Providence</cp:lastModifiedBy>
  <cp:lastPrinted>2016-11-30T12:34:59Z</cp:lastPrinted>
  <dcterms:created xsi:type="dcterms:W3CDTF">2000-10-18T12:42:23Z</dcterms:created>
  <dcterms:modified xsi:type="dcterms:W3CDTF">2024-04-05T13:57:43Z</dcterms:modified>
</cp:coreProperties>
</file>