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 activeTab="1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175" i="5" l="1"/>
  <c r="P175" i="5"/>
  <c r="S175" i="5" s="1"/>
  <c r="I175" i="5"/>
  <c r="G175" i="5"/>
  <c r="L175" i="5" s="1"/>
  <c r="O175" i="5" s="1"/>
  <c r="E175" i="5"/>
  <c r="C175" i="5"/>
  <c r="B175" i="5"/>
  <c r="T175" i="5" l="1"/>
  <c r="U175" i="5" s="1"/>
  <c r="P19" i="7"/>
  <c r="S19" i="7" s="1"/>
  <c r="I19" i="7"/>
  <c r="L19" i="7" s="1"/>
  <c r="O19" i="7" s="1"/>
  <c r="T19" i="7" s="1"/>
  <c r="U19" i="7" s="1"/>
  <c r="E19" i="7"/>
  <c r="P62" i="6"/>
  <c r="S62" i="6" s="1"/>
  <c r="I62" i="6"/>
  <c r="L62" i="6" s="1"/>
  <c r="O62" i="6" s="1"/>
  <c r="T62" i="6" s="1"/>
  <c r="U62" i="6" s="1"/>
  <c r="E62" i="6"/>
  <c r="P162" i="5"/>
  <c r="S162" i="5" s="1"/>
  <c r="I162" i="5"/>
  <c r="L162" i="5" s="1"/>
  <c r="O162" i="5" s="1"/>
  <c r="T162" i="5" s="1"/>
  <c r="E162" i="5"/>
  <c r="U162" i="5" s="1"/>
  <c r="Q20" i="7" l="1"/>
  <c r="P20" i="7"/>
  <c r="S20" i="7" s="1"/>
  <c r="I20" i="7"/>
  <c r="G20" i="7"/>
  <c r="L20" i="7" s="1"/>
  <c r="O20" i="7" s="1"/>
  <c r="C20" i="7"/>
  <c r="B20" i="7"/>
  <c r="Q66" i="6"/>
  <c r="P66" i="6"/>
  <c r="S66" i="6" s="1"/>
  <c r="I66" i="6"/>
  <c r="G66" i="6"/>
  <c r="L66" i="6" s="1"/>
  <c r="O66" i="6" s="1"/>
  <c r="T66" i="6" s="1"/>
  <c r="C66" i="6"/>
  <c r="B66" i="6"/>
  <c r="E66" i="6" s="1"/>
  <c r="Q65" i="6"/>
  <c r="P65" i="6"/>
  <c r="S65" i="6" s="1"/>
  <c r="I65" i="6"/>
  <c r="G65" i="6"/>
  <c r="L65" i="6" s="1"/>
  <c r="O65" i="6" s="1"/>
  <c r="T65" i="6" s="1"/>
  <c r="C65" i="6"/>
  <c r="B65" i="6"/>
  <c r="E65" i="6" s="1"/>
  <c r="P64" i="6"/>
  <c r="S64" i="6" s="1"/>
  <c r="I64" i="6"/>
  <c r="G64" i="6"/>
  <c r="L64" i="6" s="1"/>
  <c r="O64" i="6" s="1"/>
  <c r="T64" i="6" s="1"/>
  <c r="C64" i="6"/>
  <c r="B64" i="6"/>
  <c r="E64" i="6" s="1"/>
  <c r="U64" i="6" s="1"/>
  <c r="Q174" i="5"/>
  <c r="P174" i="5"/>
  <c r="S174" i="5" s="1"/>
  <c r="I174" i="5"/>
  <c r="G174" i="5"/>
  <c r="L174" i="5" s="1"/>
  <c r="O174" i="5" s="1"/>
  <c r="C174" i="5"/>
  <c r="B174" i="5"/>
  <c r="E174" i="5" s="1"/>
  <c r="Q173" i="5"/>
  <c r="P173" i="5"/>
  <c r="S173" i="5" s="1"/>
  <c r="I173" i="5"/>
  <c r="G173" i="5"/>
  <c r="L173" i="5" s="1"/>
  <c r="O173" i="5" s="1"/>
  <c r="T173" i="5" s="1"/>
  <c r="C173" i="5"/>
  <c r="B173" i="5"/>
  <c r="E173" i="5" s="1"/>
  <c r="U173" i="5" s="1"/>
  <c r="Q172" i="5"/>
  <c r="P172" i="5"/>
  <c r="S172" i="5" s="1"/>
  <c r="I172" i="5"/>
  <c r="G172" i="5"/>
  <c r="L172" i="5" s="1"/>
  <c r="O172" i="5" s="1"/>
  <c r="C172" i="5"/>
  <c r="B172" i="5"/>
  <c r="E172" i="5" s="1"/>
  <c r="Q171" i="5"/>
  <c r="P171" i="5"/>
  <c r="S171" i="5" s="1"/>
  <c r="I171" i="5"/>
  <c r="G171" i="5"/>
  <c r="L171" i="5" s="1"/>
  <c r="O171" i="5" s="1"/>
  <c r="T171" i="5" s="1"/>
  <c r="C171" i="5"/>
  <c r="B171" i="5"/>
  <c r="E171" i="5" s="1"/>
  <c r="U171" i="5" s="1"/>
  <c r="Q170" i="5"/>
  <c r="P170" i="5"/>
  <c r="S170" i="5" s="1"/>
  <c r="I170" i="5"/>
  <c r="G170" i="5"/>
  <c r="L170" i="5" s="1"/>
  <c r="O170" i="5" s="1"/>
  <c r="C170" i="5"/>
  <c r="B170" i="5"/>
  <c r="E170" i="5" s="1"/>
  <c r="Q169" i="5"/>
  <c r="P169" i="5"/>
  <c r="S169" i="5" s="1"/>
  <c r="I169" i="5"/>
  <c r="G169" i="5"/>
  <c r="L169" i="5" s="1"/>
  <c r="O169" i="5" s="1"/>
  <c r="T169" i="5" s="1"/>
  <c r="C169" i="5"/>
  <c r="B169" i="5"/>
  <c r="E169" i="5" s="1"/>
  <c r="U169" i="5" s="1"/>
  <c r="P168" i="5"/>
  <c r="S168" i="5" s="1"/>
  <c r="L168" i="5"/>
  <c r="O168" i="5" s="1"/>
  <c r="T168" i="5" s="1"/>
  <c r="I168" i="5"/>
  <c r="G168" i="5"/>
  <c r="E168" i="5"/>
  <c r="C168" i="5"/>
  <c r="B168" i="5"/>
  <c r="E20" i="7" l="1"/>
  <c r="T20" i="7"/>
  <c r="U20" i="7" s="1"/>
  <c r="U65" i="6"/>
  <c r="U66" i="6"/>
  <c r="U170" i="5"/>
  <c r="U168" i="5"/>
  <c r="T170" i="5"/>
  <c r="T172" i="5"/>
  <c r="U172" i="5" s="1"/>
  <c r="T174" i="5"/>
  <c r="U174" i="5" s="1"/>
  <c r="P63" i="6" l="1"/>
  <c r="S63" i="6" s="1"/>
  <c r="I63" i="6"/>
  <c r="G63" i="6"/>
  <c r="L63" i="6" s="1"/>
  <c r="O63" i="6" s="1"/>
  <c r="E63" i="6"/>
  <c r="C63" i="6"/>
  <c r="B63" i="6"/>
  <c r="P61" i="6"/>
  <c r="S61" i="6" s="1"/>
  <c r="I61" i="6"/>
  <c r="L61" i="6" s="1"/>
  <c r="O61" i="6" s="1"/>
  <c r="T61" i="6" s="1"/>
  <c r="E61" i="6"/>
  <c r="P167" i="5"/>
  <c r="S167" i="5" s="1"/>
  <c r="I167" i="5"/>
  <c r="G167" i="5"/>
  <c r="C167" i="5"/>
  <c r="B167" i="5"/>
  <c r="P166" i="5"/>
  <c r="S166" i="5" s="1"/>
  <c r="I166" i="5"/>
  <c r="G166" i="5"/>
  <c r="C166" i="5"/>
  <c r="B166" i="5"/>
  <c r="P165" i="5"/>
  <c r="S165" i="5" s="1"/>
  <c r="I165" i="5"/>
  <c r="G165" i="5"/>
  <c r="C165" i="5"/>
  <c r="B165" i="5"/>
  <c r="P164" i="5"/>
  <c r="S164" i="5" s="1"/>
  <c r="I164" i="5"/>
  <c r="G164" i="5"/>
  <c r="E164" i="5"/>
  <c r="P163" i="5"/>
  <c r="S163" i="5" s="1"/>
  <c r="I163" i="5"/>
  <c r="G163" i="5"/>
  <c r="E163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T158" i="5" s="1"/>
  <c r="C158" i="5"/>
  <c r="E158" i="5" s="1"/>
  <c r="U158" i="5" s="1"/>
  <c r="P157" i="5"/>
  <c r="S157" i="5" s="1"/>
  <c r="I157" i="5"/>
  <c r="L157" i="5" s="1"/>
  <c r="O157" i="5" s="1"/>
  <c r="C157" i="5"/>
  <c r="E157" i="5" s="1"/>
  <c r="L167" i="5" l="1"/>
  <c r="O167" i="5" s="1"/>
  <c r="T167" i="5" s="1"/>
  <c r="T63" i="6"/>
  <c r="E167" i="5"/>
  <c r="E165" i="5"/>
  <c r="L166" i="5"/>
  <c r="O166" i="5" s="1"/>
  <c r="T166" i="5" s="1"/>
  <c r="T160" i="5"/>
  <c r="L164" i="5"/>
  <c r="O164" i="5" s="1"/>
  <c r="T164" i="5" s="1"/>
  <c r="U164" i="5" s="1"/>
  <c r="U61" i="6"/>
  <c r="U63" i="6"/>
  <c r="T157" i="5"/>
  <c r="U157" i="5" s="1"/>
  <c r="T159" i="5"/>
  <c r="U159" i="5" s="1"/>
  <c r="E166" i="5"/>
  <c r="L165" i="5"/>
  <c r="O165" i="5" s="1"/>
  <c r="T165" i="5" s="1"/>
  <c r="U165" i="5" s="1"/>
  <c r="L163" i="5"/>
  <c r="O163" i="5" s="1"/>
  <c r="T163" i="5" s="1"/>
  <c r="U163" i="5" s="1"/>
  <c r="U160" i="5"/>
  <c r="T161" i="5"/>
  <c r="U161" i="5" s="1"/>
  <c r="U167" i="5"/>
  <c r="Q60" i="6"/>
  <c r="P60" i="6"/>
  <c r="I60" i="6"/>
  <c r="G60" i="6"/>
  <c r="L60" i="6" s="1"/>
  <c r="O60" i="6" s="1"/>
  <c r="C60" i="6"/>
  <c r="B60" i="6"/>
  <c r="E60" i="6" s="1"/>
  <c r="Q59" i="6"/>
  <c r="P59" i="6"/>
  <c r="S59" i="6" s="1"/>
  <c r="I59" i="6"/>
  <c r="G59" i="6"/>
  <c r="C59" i="6"/>
  <c r="B59" i="6"/>
  <c r="E59" i="6" s="1"/>
  <c r="U166" i="5" l="1"/>
  <c r="L59" i="6"/>
  <c r="O59" i="6" s="1"/>
  <c r="S60" i="6"/>
  <c r="T60" i="6" s="1"/>
  <c r="U60" i="6" s="1"/>
  <c r="T59" i="6"/>
  <c r="U59" i="6" s="1"/>
  <c r="P18" i="7"/>
  <c r="S18" i="7" s="1"/>
  <c r="L18" i="7"/>
  <c r="O18" i="7" s="1"/>
  <c r="T18" i="7" s="1"/>
  <c r="E18" i="7"/>
  <c r="P58" i="6"/>
  <c r="S58" i="6" s="1"/>
  <c r="I58" i="6"/>
  <c r="L58" i="6" s="1"/>
  <c r="O58" i="6" s="1"/>
  <c r="T58" i="6" s="1"/>
  <c r="E58" i="6"/>
  <c r="P57" i="6"/>
  <c r="S57" i="6" s="1"/>
  <c r="I57" i="6"/>
  <c r="L57" i="6" s="1"/>
  <c r="O57" i="6" s="1"/>
  <c r="E57" i="6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56" i="6"/>
  <c r="E53" i="6"/>
  <c r="T56" i="6"/>
  <c r="U58" i="6"/>
  <c r="S53" i="6"/>
  <c r="T53" i="6" s="1"/>
  <c r="U53" i="6" s="1"/>
  <c r="T54" i="6"/>
  <c r="U54" i="6" s="1"/>
  <c r="T55" i="6"/>
  <c r="T57" i="6"/>
  <c r="U57" i="6" s="1"/>
  <c r="E55" i="6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56" i="6"/>
  <c r="U55" i="6"/>
  <c r="U155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52" i="6"/>
  <c r="T51" i="6"/>
  <c r="U51" i="6" s="1"/>
  <c r="T52" i="6"/>
  <c r="U52" i="6" s="1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U49" i="6"/>
  <c r="T46" i="6"/>
  <c r="U46" i="6" s="1"/>
  <c r="T47" i="6"/>
  <c r="U47" i="6" s="1"/>
  <c r="T50" i="6"/>
  <c r="U50" i="6" s="1"/>
  <c r="T48" i="6"/>
  <c r="U48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<sst xmlns="http://schemas.openxmlformats.org/spreadsheetml/2006/main" count="393" uniqueCount="67">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</sst>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19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7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D5" workbookViewId="0">
      <selection activeCell="E18" sqref="E18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44592</v>
      </c>
    </row>
    <row r="13" spans="2:5">
      <c r="B13" s="37" t="s">
        <v>17</v>
      </c>
      <c r="C13" s="14" t="s">
        <v>23</v>
      </c>
      <c r="D13" s="14" t="s">
        <v>17</v>
      </c>
      <c r="E13" s="16" t="s">
        <v>62</v>
      </c>
    </row>
    <row r="14" spans="2:5">
      <c r="B14" s="37" t="s">
        <v>18</v>
      </c>
      <c r="C14" s="14" t="s">
        <v>24</v>
      </c>
      <c r="D14" s="14" t="s">
        <v>18</v>
      </c>
      <c r="E14" s="15" t="s">
        <v>63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78"/>
  <sheetViews>
    <sheetView tabSelected="1" workbookViewId="0">
      <pane xSplit="1" ySplit="6" topLeftCell="U163" activePane="bottomRight" state="frozen"/>
      <selection pane="topRight" activeCell="B1" sqref="B1"/>
      <selection pane="bottomLeft" activeCell="A7" sqref="A7"/>
      <selection pane="bottomRight" activeCell="V174" sqref="V174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3" t="s">
        <v>51</v>
      </c>
      <c r="G2" s="53"/>
      <c r="H2" s="53"/>
    </row>
    <row r="3" spans="1:22" ht="21" customHeight="1"/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54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75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75" si="23">SUM(O139,S139)</f>
        <v>2367805.4</v>
      </c>
      <c r="U139" s="29">
        <f t="shared" ref="U139:U175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74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7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7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2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2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" si="33">+SUM(F162:K162)</f>
        <v>2647828.5</v>
      </c>
      <c r="M162" s="30">
        <v>549158.91651699995</v>
      </c>
      <c r="N162" s="29">
        <v>72918.899999999994</v>
      </c>
      <c r="O162" s="31">
        <f t="shared" si="21"/>
        <v>2025750.6834830004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si="27"/>
        <v>1437282</v>
      </c>
      <c r="T162" s="33">
        <f t="shared" si="23"/>
        <v>3463032.6834830004</v>
      </c>
      <c r="U162" s="29">
        <f t="shared" si="24"/>
        <v>3258016.5834830003</v>
      </c>
    </row>
    <row r="163" spans="1:22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f t="shared" si="30"/>
        <v>-219299.73333333331</v>
      </c>
      <c r="F163" s="30">
        <v>0</v>
      </c>
      <c r="G163" s="30">
        <f>106324+1457030+66802.1</f>
        <v>1630156.1</v>
      </c>
      <c r="H163" s="30"/>
      <c r="I163" s="30">
        <f>24701.1+27463+118645.1+150000+2000</f>
        <v>322809.2</v>
      </c>
      <c r="J163" s="30">
        <v>6921.2</v>
      </c>
      <c r="K163" s="30">
        <v>708283.6</v>
      </c>
      <c r="L163" s="31">
        <f t="shared" si="31"/>
        <v>2668170.1</v>
      </c>
      <c r="M163" s="30">
        <v>562252.57774199999</v>
      </c>
      <c r="N163" s="29">
        <v>84343.1</v>
      </c>
      <c r="O163" s="31">
        <f t="shared" si="21"/>
        <v>2021574.4222579999</v>
      </c>
      <c r="P163" s="36">
        <f>28188.1+101.6</f>
        <v>28289.699999999997</v>
      </c>
      <c r="Q163" s="31">
        <v>1440450.8000000003</v>
      </c>
      <c r="R163" s="31">
        <v>1063.0999999999999</v>
      </c>
      <c r="S163" s="29">
        <f t="shared" si="27"/>
        <v>1469803.6000000003</v>
      </c>
      <c r="T163" s="33">
        <f t="shared" si="23"/>
        <v>3491378.0222580004</v>
      </c>
      <c r="U163" s="29">
        <f t="shared" si="24"/>
        <v>3272078.2889246671</v>
      </c>
    </row>
    <row r="164" spans="1:22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f t="shared" si="30"/>
        <v>-189401.26666666669</v>
      </c>
      <c r="F164" s="30">
        <v>0</v>
      </c>
      <c r="G164" s="30">
        <f>125624+1451471.2+73895.9</f>
        <v>1650991.0999999999</v>
      </c>
      <c r="H164" s="30"/>
      <c r="I164" s="30">
        <f>23304.2+27463+146256.4+150000+2000+4668.9</f>
        <v>353692.5</v>
      </c>
      <c r="J164" s="30">
        <v>5527.9</v>
      </c>
      <c r="K164" s="30">
        <v>704458.1</v>
      </c>
      <c r="L164" s="31">
        <f t="shared" si="31"/>
        <v>2714669.5999999996</v>
      </c>
      <c r="M164" s="30">
        <v>618398.80289299996</v>
      </c>
      <c r="N164" s="29">
        <v>74182.100000000006</v>
      </c>
      <c r="O164" s="31">
        <f t="shared" si="21"/>
        <v>2022088.6971069996</v>
      </c>
      <c r="P164" s="36">
        <f>26250.3+101.6</f>
        <v>26351.899999999998</v>
      </c>
      <c r="Q164" s="31">
        <v>1473856.5</v>
      </c>
      <c r="R164" s="31">
        <v>1036.3</v>
      </c>
      <c r="S164" s="29">
        <f t="shared" si="27"/>
        <v>1501244.7</v>
      </c>
      <c r="T164" s="33">
        <f t="shared" si="23"/>
        <v>3523333.3971069995</v>
      </c>
      <c r="U164" s="29">
        <f t="shared" si="24"/>
        <v>3333932.1304403329</v>
      </c>
    </row>
    <row r="165" spans="1:22" s="35" customFormat="1" ht="15.75">
      <c r="A165" s="47">
        <v>44286</v>
      </c>
      <c r="B165" s="30">
        <f>212738-331861.9</f>
        <v>-119123.90000000002</v>
      </c>
      <c r="C165" s="30">
        <f>210185.7-318779.1</f>
        <v>-108593.39999999997</v>
      </c>
      <c r="D165" s="30">
        <v>-81.7</v>
      </c>
      <c r="E165" s="29">
        <f t="shared" si="30"/>
        <v>-227799</v>
      </c>
      <c r="F165" s="30">
        <v>0</v>
      </c>
      <c r="G165" s="30">
        <f>126464+1443480.7+78836.6</f>
        <v>1648781.3</v>
      </c>
      <c r="H165" s="30"/>
      <c r="I165" s="30">
        <f>28954.5+0+143124.3+150000+2000+4668.9</f>
        <v>328747.7</v>
      </c>
      <c r="J165" s="30">
        <v>4134.6000000000004</v>
      </c>
      <c r="K165" s="30">
        <v>703262.9</v>
      </c>
      <c r="L165" s="31">
        <f t="shared" si="31"/>
        <v>2684926.5</v>
      </c>
      <c r="M165" s="30">
        <v>570127</v>
      </c>
      <c r="N165" s="29">
        <v>79893.7</v>
      </c>
      <c r="O165" s="31">
        <f t="shared" si="21"/>
        <v>2034905.8</v>
      </c>
      <c r="P165" s="36">
        <f>24586.6+101.6</f>
        <v>24688.199999999997</v>
      </c>
      <c r="Q165" s="31">
        <v>1524807.0000000002</v>
      </c>
      <c r="R165" s="31">
        <v>734.60000000000014</v>
      </c>
      <c r="S165" s="29">
        <f t="shared" si="27"/>
        <v>1550229.8000000003</v>
      </c>
      <c r="T165" s="33">
        <f t="shared" si="23"/>
        <v>3585135.6000000006</v>
      </c>
      <c r="U165" s="29">
        <f t="shared" si="24"/>
        <v>3357336.6000000006</v>
      </c>
    </row>
    <row r="166" spans="1:22" s="35" customFormat="1" ht="15.75">
      <c r="A166" s="47">
        <v>44316</v>
      </c>
      <c r="B166" s="30">
        <f>210523.2-315749.3</f>
        <v>-105226.09999999998</v>
      </c>
      <c r="C166" s="30">
        <f>181214.9-324733.2</f>
        <v>-143518.30000000002</v>
      </c>
      <c r="D166" s="30">
        <v>-93.8</v>
      </c>
      <c r="E166" s="29">
        <f t="shared" si="30"/>
        <v>-248838.19999999998</v>
      </c>
      <c r="F166" s="30">
        <v>0</v>
      </c>
      <c r="G166" s="30">
        <f>142324+1434526.7+89310.1</f>
        <v>1666160.8</v>
      </c>
      <c r="H166" s="30"/>
      <c r="I166" s="30">
        <f>19870.3+143571+0+150000+4032.5+4668.9+29176.1</f>
        <v>351318.8</v>
      </c>
      <c r="J166" s="30">
        <v>2741.3</v>
      </c>
      <c r="K166" s="30">
        <v>702954.8</v>
      </c>
      <c r="L166" s="31">
        <f t="shared" si="31"/>
        <v>2723175.7</v>
      </c>
      <c r="M166" s="30">
        <v>605863.23333333305</v>
      </c>
      <c r="N166" s="29">
        <v>103216.1</v>
      </c>
      <c r="O166" s="31">
        <f t="shared" si="21"/>
        <v>2014096.3666666672</v>
      </c>
      <c r="P166" s="36">
        <f>23299.7+101.6</f>
        <v>23401.3</v>
      </c>
      <c r="Q166" s="31">
        <v>1552846.0999999996</v>
      </c>
      <c r="R166" s="31">
        <v>596.59999999999991</v>
      </c>
      <c r="S166" s="29">
        <f t="shared" si="27"/>
        <v>1576843.9999999998</v>
      </c>
      <c r="T166" s="33">
        <f t="shared" si="23"/>
        <v>3590940.3666666672</v>
      </c>
      <c r="U166" s="29">
        <f t="shared" si="24"/>
        <v>3342102.166666667</v>
      </c>
    </row>
    <row r="167" spans="1:22" s="35" customFormat="1" ht="15.75">
      <c r="A167" s="47">
        <v>44347</v>
      </c>
      <c r="B167" s="30">
        <f>192905.9-316505.6</f>
        <v>-123599.69999999998</v>
      </c>
      <c r="C167" s="30">
        <f>172878.4-321370.8</f>
        <v>-148492.4</v>
      </c>
      <c r="D167" s="30">
        <v>-105.9</v>
      </c>
      <c r="E167" s="29">
        <f t="shared" si="30"/>
        <v>-272198</v>
      </c>
      <c r="F167" s="30">
        <v>0</v>
      </c>
      <c r="G167" s="30">
        <f>147093.7+1433482.8+111190.4</f>
        <v>1691766.9</v>
      </c>
      <c r="H167" s="30"/>
      <c r="I167" s="30">
        <f>21693+129697.7+0+150000+6043.1+4668.9+29176.1+837.8</f>
        <v>342116.6</v>
      </c>
      <c r="J167" s="30">
        <v>0</v>
      </c>
      <c r="K167" s="30">
        <v>702546.1</v>
      </c>
      <c r="L167" s="31">
        <f t="shared" si="31"/>
        <v>2736429.6</v>
      </c>
      <c r="M167" s="30">
        <v>602255.26666666695</v>
      </c>
      <c r="N167" s="29">
        <v>92826.3</v>
      </c>
      <c r="O167" s="31">
        <f t="shared" si="21"/>
        <v>2041348.033333333</v>
      </c>
      <c r="P167" s="36">
        <f>24802.1+101.6</f>
        <v>24903.699999999997</v>
      </c>
      <c r="Q167" s="31">
        <v>1616844.9000000004</v>
      </c>
      <c r="R167" s="31">
        <v>5596.7000000000007</v>
      </c>
      <c r="S167" s="29">
        <f t="shared" si="27"/>
        <v>1647345.3000000003</v>
      </c>
      <c r="T167" s="33">
        <f t="shared" si="23"/>
        <v>3688693.333333333</v>
      </c>
      <c r="U167" s="29">
        <f t="shared" si="24"/>
        <v>3416495.333333333</v>
      </c>
    </row>
    <row r="168" spans="1:22" s="35" customFormat="1" ht="15.75">
      <c r="A168" s="47">
        <v>44377</v>
      </c>
      <c r="B168" s="30">
        <f>191742.9-306331.3</f>
        <v>-114588.4</v>
      </c>
      <c r="C168" s="30">
        <f>174837.1-365639.5</f>
        <v>-190802.4</v>
      </c>
      <c r="D168" s="30">
        <v>-118</v>
      </c>
      <c r="E168" s="29">
        <f t="shared" ref="E168:E174" si="34">+SUM(B168:D168)</f>
        <v>-305508.8</v>
      </c>
      <c r="F168" s="30">
        <v>57076.7</v>
      </c>
      <c r="G168" s="30">
        <f>148924+1476613.7+93689.9</f>
        <v>1719227.5999999999</v>
      </c>
      <c r="H168" s="30"/>
      <c r="I168" s="30">
        <f>20582.4+127108.3+0+150000+11960.4+4668.9+29176.1+3728.9</f>
        <v>347225.00000000006</v>
      </c>
      <c r="J168" s="30">
        <v>0</v>
      </c>
      <c r="K168" s="30">
        <v>701028.8</v>
      </c>
      <c r="L168" s="31">
        <f t="shared" ref="L168:L174" si="35">+SUM(F168:K168)</f>
        <v>2824558.0999999996</v>
      </c>
      <c r="M168" s="30">
        <v>625806.5</v>
      </c>
      <c r="N168" s="29">
        <v>82601.5</v>
      </c>
      <c r="O168" s="31">
        <f t="shared" si="21"/>
        <v>2116150.0999999996</v>
      </c>
      <c r="P168" s="36">
        <f>26127+101.6</f>
        <v>26228.6</v>
      </c>
      <c r="Q168" s="31">
        <v>1724195.7</v>
      </c>
      <c r="R168" s="31">
        <v>5539.4</v>
      </c>
      <c r="S168" s="29">
        <f t="shared" si="27"/>
        <v>1755963.7</v>
      </c>
      <c r="T168" s="33">
        <f t="shared" si="23"/>
        <v>3872113.8</v>
      </c>
      <c r="U168" s="29">
        <f t="shared" si="24"/>
        <v>3566605</v>
      </c>
    </row>
    <row r="169" spans="1:22" s="35" customFormat="1" ht="18">
      <c r="A169" s="47" t="s">
        <v>58</v>
      </c>
      <c r="B169" s="30">
        <f>169200.4-306354.8</f>
        <v>-137154.4</v>
      </c>
      <c r="C169" s="30">
        <f>186628-389848.3</f>
        <v>-203220.3</v>
      </c>
      <c r="D169" s="30">
        <v>-148.66666666666666</v>
      </c>
      <c r="E169" s="29">
        <f t="shared" si="34"/>
        <v>-340523.36666666664</v>
      </c>
      <c r="F169" s="30">
        <v>63146.5</v>
      </c>
      <c r="G169" s="30">
        <f>148224+1529151.3+100549</f>
        <v>1777924.3</v>
      </c>
      <c r="H169" s="30"/>
      <c r="I169" s="30">
        <f>23740.6+109958.2+0+150000+11960.4+4668.9+29176.1+5438.2</f>
        <v>334942.40000000002</v>
      </c>
      <c r="J169" s="30">
        <v>0</v>
      </c>
      <c r="K169" s="30">
        <v>700389</v>
      </c>
      <c r="L169" s="31">
        <f t="shared" si="35"/>
        <v>2876402.2</v>
      </c>
      <c r="M169" s="30">
        <v>629393.76666666695</v>
      </c>
      <c r="N169" s="29">
        <v>92362.5</v>
      </c>
      <c r="O169" s="31">
        <f t="shared" si="21"/>
        <v>2154645.9333333331</v>
      </c>
      <c r="P169" s="36">
        <f>23416.6+101.6</f>
        <v>23518.199999999997</v>
      </c>
      <c r="Q169" s="31">
        <f>1721060.2+10337.4+64861.4</f>
        <v>1796258.9999999998</v>
      </c>
      <c r="R169" s="31">
        <v>383.9</v>
      </c>
      <c r="S169" s="29">
        <f t="shared" si="27"/>
        <v>1820161.0999999996</v>
      </c>
      <c r="T169" s="33">
        <f t="shared" si="23"/>
        <v>3974807.0333333327</v>
      </c>
      <c r="U169" s="29">
        <f t="shared" si="24"/>
        <v>3634283.666666666</v>
      </c>
    </row>
    <row r="170" spans="1:22" s="35" customFormat="1" ht="18">
      <c r="A170" s="47" t="s">
        <v>59</v>
      </c>
      <c r="B170" s="30">
        <f>579326.5-719954.4</f>
        <v>-140627.90000000002</v>
      </c>
      <c r="C170" s="30">
        <f>168097.4-391729.8</f>
        <v>-223632.4</v>
      </c>
      <c r="D170" s="30">
        <v>-179.33333333333334</v>
      </c>
      <c r="E170" s="29">
        <f t="shared" si="34"/>
        <v>-364439.63333333336</v>
      </c>
      <c r="F170" s="30">
        <v>33670.800000000003</v>
      </c>
      <c r="G170" s="30">
        <f>182597+1520467.8+99867.6</f>
        <v>1802932.4000000001</v>
      </c>
      <c r="H170" s="30"/>
      <c r="I170" s="30">
        <f>23347.2+121971.1+0+150000+11960.4+4668.9+29176.1+9796.1</f>
        <v>350919.80000000005</v>
      </c>
      <c r="J170" s="30">
        <v>0</v>
      </c>
      <c r="K170" s="30">
        <v>698477.8</v>
      </c>
      <c r="L170" s="31">
        <f t="shared" si="35"/>
        <v>2886000.8</v>
      </c>
      <c r="M170" s="30">
        <v>663897.83333333302</v>
      </c>
      <c r="N170" s="29">
        <v>81429.399999999994</v>
      </c>
      <c r="O170" s="31">
        <f t="shared" si="21"/>
        <v>2140673.5666666669</v>
      </c>
      <c r="P170" s="36">
        <f>101.6+25357.1</f>
        <v>25458.699999999997</v>
      </c>
      <c r="Q170" s="31">
        <f>1806537.6+10675+59795.2</f>
        <v>1877007.8</v>
      </c>
      <c r="R170" s="31">
        <v>309.8</v>
      </c>
      <c r="S170" s="29">
        <f t="shared" si="27"/>
        <v>1902776.3</v>
      </c>
      <c r="T170" s="33">
        <f t="shared" si="23"/>
        <v>4043449.8666666672</v>
      </c>
      <c r="U170" s="29">
        <f t="shared" si="24"/>
        <v>3679010.2333333339</v>
      </c>
    </row>
    <row r="171" spans="1:22" s="35" customFormat="1" ht="18">
      <c r="A171" s="47" t="s">
        <v>60</v>
      </c>
      <c r="B171" s="30">
        <f>619116.9-769655.5</f>
        <v>-150538.59999999998</v>
      </c>
      <c r="C171" s="30">
        <f>174824.4-429239.7</f>
        <v>-254415.30000000002</v>
      </c>
      <c r="D171" s="30">
        <v>-210</v>
      </c>
      <c r="E171" s="29">
        <f t="shared" si="34"/>
        <v>-405163.9</v>
      </c>
      <c r="F171" s="30">
        <v>0</v>
      </c>
      <c r="G171" s="30">
        <f>195803.2+1535241.8+100279.1</f>
        <v>1831324.1</v>
      </c>
      <c r="H171" s="30"/>
      <c r="I171" s="30">
        <f>23801.5+117313.3+0+150000+11960.4+4668.9+29176.1+10252</f>
        <v>347172.2</v>
      </c>
      <c r="J171" s="30">
        <v>0</v>
      </c>
      <c r="K171" s="30">
        <v>697339.3</v>
      </c>
      <c r="L171" s="31">
        <f t="shared" si="35"/>
        <v>2875835.6000000006</v>
      </c>
      <c r="M171" s="30">
        <v>651228.69999999995</v>
      </c>
      <c r="N171" s="29">
        <v>81058.8</v>
      </c>
      <c r="O171" s="31">
        <f t="shared" si="21"/>
        <v>2143548.1000000006</v>
      </c>
      <c r="P171" s="36">
        <f>25612.6+101.6</f>
        <v>25714.199999999997</v>
      </c>
      <c r="Q171" s="31">
        <f>2070903.3+5112.7+63909.6</f>
        <v>2139925.6</v>
      </c>
      <c r="R171" s="31">
        <v>337.9</v>
      </c>
      <c r="S171" s="29">
        <f t="shared" si="27"/>
        <v>2165977.7000000002</v>
      </c>
      <c r="T171" s="33">
        <f t="shared" si="23"/>
        <v>4309525.8000000007</v>
      </c>
      <c r="U171" s="29">
        <f t="shared" si="24"/>
        <v>3904361.9000000008</v>
      </c>
    </row>
    <row r="172" spans="1:22" s="35" customFormat="1" ht="18">
      <c r="A172" s="47" t="s">
        <v>61</v>
      </c>
      <c r="B172" s="30">
        <f>777359.9-772767.2</f>
        <v>4592.7000000000698</v>
      </c>
      <c r="C172" s="30">
        <f>132578.4-413868.6</f>
        <v>-281290.19999999995</v>
      </c>
      <c r="D172" s="30">
        <v>-210</v>
      </c>
      <c r="E172" s="29">
        <f t="shared" si="34"/>
        <v>-276907.49999999988</v>
      </c>
      <c r="F172" s="30">
        <v>0</v>
      </c>
      <c r="G172" s="30">
        <f>165928.1+1558817.3+105201.2</f>
        <v>1829946.6</v>
      </c>
      <c r="H172" s="30"/>
      <c r="I172" s="30">
        <f>27975.3+114149.7+0+150000+11960.4+4668.9+29176.1+10288.9</f>
        <v>348219.30000000005</v>
      </c>
      <c r="J172" s="30">
        <v>0</v>
      </c>
      <c r="K172" s="30">
        <v>696699.4</v>
      </c>
      <c r="L172" s="31">
        <f t="shared" si="35"/>
        <v>2874865.3000000003</v>
      </c>
      <c r="M172" s="30">
        <v>828314.2</v>
      </c>
      <c r="N172" s="29">
        <v>83014.5</v>
      </c>
      <c r="O172" s="31">
        <f t="shared" si="21"/>
        <v>1963536.6000000003</v>
      </c>
      <c r="P172" s="36">
        <f>25563.8+101.6</f>
        <v>25665.399999999998</v>
      </c>
      <c r="Q172" s="31">
        <f>2143782.5+5112.7+61220.9</f>
        <v>2210116.1</v>
      </c>
      <c r="R172" s="31">
        <v>279.7</v>
      </c>
      <c r="S172" s="29">
        <f t="shared" si="27"/>
        <v>2236061.2000000002</v>
      </c>
      <c r="T172" s="33">
        <f t="shared" si="23"/>
        <v>4199597.8000000007</v>
      </c>
      <c r="U172" s="29">
        <f t="shared" si="24"/>
        <v>3922690.3000000007</v>
      </c>
    </row>
    <row r="173" spans="1:22" s="35" customFormat="1" ht="18">
      <c r="A173" s="47" t="s">
        <v>64</v>
      </c>
      <c r="B173" s="30">
        <f>687462.7-765682.1</f>
        <v>-78219.400000000023</v>
      </c>
      <c r="C173" s="30">
        <f>136694-379758.4</f>
        <v>-243064.40000000002</v>
      </c>
      <c r="D173" s="30">
        <v>-210</v>
      </c>
      <c r="E173" s="29">
        <f t="shared" si="34"/>
        <v>-321493.80000000005</v>
      </c>
      <c r="F173" s="30">
        <v>61719.1</v>
      </c>
      <c r="G173" s="30">
        <f>147787.2+1568133.6+105022.2</f>
        <v>1820943</v>
      </c>
      <c r="H173" s="30"/>
      <c r="I173" s="30">
        <f>16285.3+107916.5+113333.3+11960.3+4668.9+28191.3+10288.9</f>
        <v>292644.5</v>
      </c>
      <c r="J173" s="30">
        <v>0</v>
      </c>
      <c r="K173" s="30">
        <v>693753.1</v>
      </c>
      <c r="L173" s="31">
        <f t="shared" si="35"/>
        <v>2869059.7</v>
      </c>
      <c r="M173" s="30">
        <v>830660.6</v>
      </c>
      <c r="N173" s="29">
        <v>79761.3</v>
      </c>
      <c r="O173" s="31">
        <f t="shared" si="21"/>
        <v>1958637.8</v>
      </c>
      <c r="P173" s="36">
        <f>25713.2+101.6</f>
        <v>25814.799999999999</v>
      </c>
      <c r="Q173" s="31">
        <f>2226019+5112.7+54862.6</f>
        <v>2285994.3000000003</v>
      </c>
      <c r="R173" s="31">
        <v>266.3</v>
      </c>
      <c r="S173" s="29">
        <f t="shared" si="27"/>
        <v>2312075.4</v>
      </c>
      <c r="T173" s="33">
        <f t="shared" si="23"/>
        <v>4270713.2</v>
      </c>
      <c r="U173" s="29">
        <f t="shared" si="24"/>
        <v>3949219.4000000004</v>
      </c>
    </row>
    <row r="174" spans="1:22" s="35" customFormat="1" ht="18">
      <c r="A174" s="47" t="s">
        <v>65</v>
      </c>
      <c r="B174" s="30">
        <f>593226.4-734574.5</f>
        <v>-141348.09999999998</v>
      </c>
      <c r="C174" s="30">
        <f>185283.8-366326.2</f>
        <v>-181042.40000000002</v>
      </c>
      <c r="D174" s="30">
        <v>-210</v>
      </c>
      <c r="E174" s="29">
        <f t="shared" si="34"/>
        <v>-322600.5</v>
      </c>
      <c r="F174" s="30">
        <v>36124.9</v>
      </c>
      <c r="G174" s="30">
        <f>135495.9+1574632.6+105929.2</f>
        <v>1816057.7</v>
      </c>
      <c r="H174" s="30"/>
      <c r="I174" s="30">
        <f>17657.2+97957+113333.3+17520.8+4668.9+28191.3+10728.2</f>
        <v>290056.7</v>
      </c>
      <c r="J174" s="30">
        <v>0</v>
      </c>
      <c r="K174" s="30">
        <v>690961.7</v>
      </c>
      <c r="L174" s="31">
        <f t="shared" si="35"/>
        <v>2833201</v>
      </c>
      <c r="M174" s="30">
        <v>824959</v>
      </c>
      <c r="N174" s="29">
        <v>75800.899999999994</v>
      </c>
      <c r="O174" s="31">
        <f t="shared" si="21"/>
        <v>1932441.1</v>
      </c>
      <c r="P174" s="36">
        <f>24992.2+101.6</f>
        <v>25093.8</v>
      </c>
      <c r="Q174" s="31">
        <f>2257840.8+5112.7+63987.2</f>
        <v>2326940.7000000002</v>
      </c>
      <c r="R174" s="31">
        <v>256.5</v>
      </c>
      <c r="S174" s="29">
        <f t="shared" si="27"/>
        <v>2352291</v>
      </c>
      <c r="T174" s="33">
        <f t="shared" si="23"/>
        <v>4284732.0999999996</v>
      </c>
      <c r="U174" s="29">
        <f t="shared" si="24"/>
        <v>3962131.5999999996</v>
      </c>
    </row>
    <row r="175" spans="1:22" s="35" customFormat="1" ht="18">
      <c r="A175" s="47" t="s">
        <v>66</v>
      </c>
      <c r="B175" s="30">
        <f>608146-725205.8</f>
        <v>-117059.80000000005</v>
      </c>
      <c r="C175" s="30">
        <f>165550.4-403035.8</f>
        <v>-237485.4</v>
      </c>
      <c r="D175" s="30">
        <v>-210</v>
      </c>
      <c r="E175" s="29">
        <f t="shared" ref="E175" si="36">+SUM(B175:D175)</f>
        <v>-354755.20000000007</v>
      </c>
      <c r="F175" s="30">
        <v>57950.6</v>
      </c>
      <c r="G175" s="30">
        <f>139935.7+1563923+106085.6</f>
        <v>1809944.3</v>
      </c>
      <c r="H175" s="30"/>
      <c r="I175" s="30">
        <f>20155.8+88798.5+0+113333.3+17520.8+4668.9+29281.2+11584.4+150000</f>
        <v>435342.9</v>
      </c>
      <c r="J175" s="30">
        <v>0</v>
      </c>
      <c r="K175" s="30">
        <v>691355.6</v>
      </c>
      <c r="L175" s="31">
        <f t="shared" ref="L175" si="37">+SUM(F175:K175)</f>
        <v>2994593.4000000004</v>
      </c>
      <c r="M175" s="30">
        <v>833342.7</v>
      </c>
      <c r="N175" s="29">
        <v>82686.100000000006</v>
      </c>
      <c r="O175" s="31">
        <f t="shared" si="21"/>
        <v>2078564.6</v>
      </c>
      <c r="P175" s="36">
        <f>24782.4+101.6</f>
        <v>24884</v>
      </c>
      <c r="Q175" s="31">
        <f>2283388.5+5112.7+63315.3</f>
        <v>2351816.5</v>
      </c>
      <c r="R175" s="31">
        <v>230.5</v>
      </c>
      <c r="S175" s="29">
        <f t="shared" ref="S175" si="38">SUM(P175:R175)</f>
        <v>2376931</v>
      </c>
      <c r="T175" s="33">
        <f t="shared" si="23"/>
        <v>4455495.5999999996</v>
      </c>
      <c r="U175" s="29">
        <f t="shared" si="24"/>
        <v>4100740.3999999994</v>
      </c>
    </row>
    <row r="176" spans="1:22" s="35" customFormat="1" ht="15.75">
      <c r="A176" s="57" t="s">
        <v>54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9"/>
      <c r="V176" s="34"/>
    </row>
    <row r="177" spans="1:22" s="35" customFormat="1" ht="15.75">
      <c r="A177" s="60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2"/>
      <c r="V177" s="34"/>
    </row>
    <row r="178" spans="1:22" s="35" customFormat="1" ht="15.75">
      <c r="A178" s="50" t="s">
        <v>52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2"/>
      <c r="V178" s="34"/>
    </row>
  </sheetData>
  <mergeCells count="11">
    <mergeCell ref="A178:U178"/>
    <mergeCell ref="F2:H2"/>
    <mergeCell ref="F5:O5"/>
    <mergeCell ref="P5:S5"/>
    <mergeCell ref="F4:O4"/>
    <mergeCell ref="P4:T4"/>
    <mergeCell ref="A176:U177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9"/>
  <sheetViews>
    <sheetView workbookViewId="0">
      <pane xSplit="1" ySplit="6" topLeftCell="T55" activePane="bottomRight" state="frozen"/>
      <selection pane="topRight" activeCell="B1" sqref="B1"/>
      <selection pane="bottomLeft" activeCell="A7" sqref="A7"/>
      <selection pane="bottomRight" activeCell="B62" sqref="B62:U62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3" t="s">
        <v>51</v>
      </c>
      <c r="F2" s="53"/>
      <c r="G2" s="53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1638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16382" s="26" customFormat="1" ht="72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0" si="9">+SUM(F47:K47)</f>
        <v>1493251.9</v>
      </c>
      <c r="M47" s="30">
        <v>290474.60000000003</v>
      </c>
      <c r="N47" s="29">
        <v>56551.900000000009</v>
      </c>
      <c r="O47" s="31">
        <f t="shared" ref="O47:O66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 t="shared" ref="T47:T66" si="12">SUM(O47,S47)</f>
        <v>2055107.1999999997</v>
      </c>
      <c r="U47" s="29">
        <f t="shared" ref="U47:U66" si="13"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 t="shared" si="12"/>
        <v>2159954.2999999998</v>
      </c>
      <c r="U48" s="29">
        <f t="shared" si="13"/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 t="shared" si="12"/>
        <v>2265248.8000000007</v>
      </c>
      <c r="U49" s="29">
        <f t="shared" si="13"/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" si="14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5">SUM(P50:R50)</f>
        <v>1031951.6</v>
      </c>
      <c r="T50" s="33">
        <f t="shared" si="12"/>
        <v>2369485.6</v>
      </c>
      <c r="U50" s="29">
        <f t="shared" si="13"/>
        <v>2166284.6</v>
      </c>
      <c r="V50" s="34"/>
    </row>
    <row r="51" spans="1:22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f t="shared" ref="E51:E52" si="16">+SUM(B51:D51)</f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f t="shared" ref="L51:L52" si="17">+SUM(F51:K51)</f>
        <v>1880056.4</v>
      </c>
      <c r="M51" s="30">
        <v>412450</v>
      </c>
      <c r="N51" s="29">
        <v>58269.8</v>
      </c>
      <c r="O51" s="31">
        <f t="shared" si="10"/>
        <v>1409336.5999999999</v>
      </c>
      <c r="P51" s="36">
        <v>32296.6</v>
      </c>
      <c r="Q51" s="31">
        <v>1008148.3000000002</v>
      </c>
      <c r="R51" s="31">
        <v>6662.7</v>
      </c>
      <c r="S51" s="29">
        <f t="shared" ref="S51" si="18">SUM(P51:R51)</f>
        <v>1047107.6000000001</v>
      </c>
      <c r="T51" s="33">
        <f t="shared" si="12"/>
        <v>2456444.2000000002</v>
      </c>
      <c r="U51" s="29">
        <f t="shared" si="13"/>
        <v>2227041.1</v>
      </c>
    </row>
    <row r="52" spans="1:22" s="35" customFormat="1" ht="15.75">
      <c r="A52" s="47">
        <v>43646</v>
      </c>
      <c r="B52" s="30">
        <f>177153.1-298866.2</f>
        <v>-121713.1</v>
      </c>
      <c r="C52" s="30">
        <f>127120.2-199660</f>
        <v>-72539.8</v>
      </c>
      <c r="D52" s="30" t="s">
        <v>1</v>
      </c>
      <c r="E52" s="29">
        <f t="shared" si="16"/>
        <v>-194252.90000000002</v>
      </c>
      <c r="F52" s="30">
        <v>216009.2</v>
      </c>
      <c r="G52" s="30">
        <f>42174.9+1084518.3+16965</f>
        <v>1143658.2</v>
      </c>
      <c r="H52" s="30"/>
      <c r="I52" s="30">
        <v>59215</v>
      </c>
      <c r="J52" s="30">
        <v>32046</v>
      </c>
      <c r="K52" s="30">
        <v>514038.8</v>
      </c>
      <c r="L52" s="31">
        <f t="shared" si="17"/>
        <v>1964967.2</v>
      </c>
      <c r="M52" s="30">
        <v>427944.6</v>
      </c>
      <c r="N52" s="29">
        <v>62402.2</v>
      </c>
      <c r="O52" s="31">
        <f t="shared" si="10"/>
        <v>1474620.4000000001</v>
      </c>
      <c r="P52" s="36">
        <f>23367.3+101.6</f>
        <v>23468.899999999998</v>
      </c>
      <c r="Q52" s="31">
        <v>1073690.6000000001</v>
      </c>
      <c r="R52" s="31">
        <v>6546.1</v>
      </c>
      <c r="S52" s="29">
        <f t="shared" ref="S52" si="19">SUM(P52:R52)</f>
        <v>1103705.6000000001</v>
      </c>
      <c r="T52" s="33">
        <f t="shared" si="12"/>
        <v>2578326</v>
      </c>
      <c r="U52" s="29">
        <f t="shared" si="13"/>
        <v>2384073.1</v>
      </c>
    </row>
    <row r="53" spans="1:22" s="35" customFormat="1" ht="15.75">
      <c r="A53" s="47">
        <v>43738</v>
      </c>
      <c r="B53" s="30">
        <f>152229.3-295964.1</f>
        <v>-143734.79999999999</v>
      </c>
      <c r="C53" s="30">
        <f>139248.5-223096</f>
        <v>-83847.5</v>
      </c>
      <c r="D53" s="30" t="s">
        <v>1</v>
      </c>
      <c r="E53" s="29">
        <f t="shared" ref="E53:E58" si="20">+SUM(B53:D53)</f>
        <v>-227582.3</v>
      </c>
      <c r="F53" s="30">
        <v>0</v>
      </c>
      <c r="G53" s="30">
        <f>52783.1+1160384.5+28225</f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f t="shared" ref="L53:L58" si="21">+SUM(F53:K53)</f>
        <v>2063604.4</v>
      </c>
      <c r="M53" s="30">
        <v>478795.5</v>
      </c>
      <c r="N53" s="29">
        <v>82107.899999999994</v>
      </c>
      <c r="O53" s="31">
        <f t="shared" si="10"/>
        <v>1502701</v>
      </c>
      <c r="P53" s="36">
        <f>25516+101.6</f>
        <v>25617.599999999999</v>
      </c>
      <c r="Q53" s="31">
        <f>1098721+4652.3+44030.8</f>
        <v>1147404.1000000001</v>
      </c>
      <c r="R53" s="31">
        <v>6686.4</v>
      </c>
      <c r="S53" s="29">
        <f t="shared" ref="S53:S58" si="22">SUM(P53:R53)</f>
        <v>1179708.1000000001</v>
      </c>
      <c r="T53" s="33">
        <f t="shared" si="12"/>
        <v>2682409.1</v>
      </c>
      <c r="U53" s="29">
        <f t="shared" si="13"/>
        <v>2454826.8000000003</v>
      </c>
    </row>
    <row r="54" spans="1:22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f t="shared" si="20"/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f t="shared" si="21"/>
        <v>2158766.2999999998</v>
      </c>
      <c r="M54" s="30">
        <v>443910.5</v>
      </c>
      <c r="N54" s="29">
        <v>95938.2</v>
      </c>
      <c r="O54" s="31">
        <f t="shared" si="10"/>
        <v>1618917.5999999999</v>
      </c>
      <c r="P54" s="36">
        <f>42076.6+101.6</f>
        <v>42178.2</v>
      </c>
      <c r="Q54" s="31">
        <v>1166031.0000000002</v>
      </c>
      <c r="R54" s="31">
        <v>458.5</v>
      </c>
      <c r="S54" s="29">
        <f t="shared" si="22"/>
        <v>1208667.7000000002</v>
      </c>
      <c r="T54" s="33">
        <f t="shared" si="12"/>
        <v>2827585.3</v>
      </c>
      <c r="U54" s="29">
        <f t="shared" si="13"/>
        <v>2621245</v>
      </c>
    </row>
    <row r="55" spans="1:22" s="35" customFormat="1" ht="15.75">
      <c r="A55" s="47">
        <v>43921</v>
      </c>
      <c r="B55" s="30">
        <f>194289.3-361308.8</f>
        <v>-167019.5</v>
      </c>
      <c r="C55" s="30">
        <f>143352.6-261170.6</f>
        <v>-117818</v>
      </c>
      <c r="D55" s="30" t="s">
        <v>1</v>
      </c>
      <c r="E55" s="29">
        <f t="shared" si="20"/>
        <v>-284837.5</v>
      </c>
      <c r="F55" s="30">
        <v>0</v>
      </c>
      <c r="G55" s="30">
        <v>1381408.1999999997</v>
      </c>
      <c r="H55" s="30"/>
      <c r="I55" s="30">
        <f>20393+103560.4</f>
        <v>123953.4</v>
      </c>
      <c r="J55" s="30">
        <v>19506.2</v>
      </c>
      <c r="K55" s="30">
        <v>719165.8</v>
      </c>
      <c r="L55" s="31">
        <f t="shared" si="21"/>
        <v>2244033.5999999996</v>
      </c>
      <c r="M55" s="30">
        <v>503862</v>
      </c>
      <c r="N55" s="29">
        <v>77027.199999999997</v>
      </c>
      <c r="O55" s="31">
        <f t="shared" si="10"/>
        <v>1663144.3999999997</v>
      </c>
      <c r="P55" s="36">
        <f>32138.3+101.6</f>
        <v>32239.899999999998</v>
      </c>
      <c r="Q55" s="31">
        <v>1212703.5999999999</v>
      </c>
      <c r="R55" s="31">
        <v>342.2</v>
      </c>
      <c r="S55" s="29">
        <f t="shared" si="22"/>
        <v>1245285.6999999997</v>
      </c>
      <c r="T55" s="33">
        <f t="shared" si="12"/>
        <v>2908430.0999999996</v>
      </c>
      <c r="U55" s="29">
        <f t="shared" si="13"/>
        <v>2623592.5999999996</v>
      </c>
    </row>
    <row r="56" spans="1:22" s="35" customFormat="1" ht="15.75">
      <c r="A56" s="47">
        <v>44012</v>
      </c>
      <c r="B56" s="30">
        <f>172739-357357.6</f>
        <v>-184618.59999999998</v>
      </c>
      <c r="C56" s="30">
        <f>128564.4-277077.4</f>
        <v>-148513.00000000003</v>
      </c>
      <c r="D56" s="30" t="s">
        <v>1</v>
      </c>
      <c r="E56" s="29">
        <f t="shared" si="20"/>
        <v>-333131.59999999998</v>
      </c>
      <c r="F56" s="30">
        <v>0</v>
      </c>
      <c r="G56" s="30">
        <v>1468858.5</v>
      </c>
      <c r="H56" s="30"/>
      <c r="I56" s="30">
        <f>16243.7+98487+5357.5</f>
        <v>120088.2</v>
      </c>
      <c r="J56" s="30">
        <v>15326.3</v>
      </c>
      <c r="K56" s="30">
        <v>715538.4</v>
      </c>
      <c r="L56" s="31">
        <f t="shared" si="21"/>
        <v>2319811.4</v>
      </c>
      <c r="M56" s="30">
        <v>441278.2</v>
      </c>
      <c r="N56" s="29">
        <v>86594.1</v>
      </c>
      <c r="O56" s="31">
        <f t="shared" si="10"/>
        <v>1791939.0999999999</v>
      </c>
      <c r="P56" s="36">
        <f>29576.4+101.6</f>
        <v>29678</v>
      </c>
      <c r="Q56" s="31">
        <v>1283209.7000000002</v>
      </c>
      <c r="R56" s="31">
        <v>328.2</v>
      </c>
      <c r="S56" s="29">
        <f t="shared" si="22"/>
        <v>1313215.9000000001</v>
      </c>
      <c r="T56" s="33">
        <f t="shared" si="12"/>
        <v>3105155</v>
      </c>
      <c r="U56" s="29">
        <f t="shared" si="13"/>
        <v>2772023.4</v>
      </c>
    </row>
    <row r="57" spans="1:22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f t="shared" si="20"/>
        <v>-279912.59999999998</v>
      </c>
      <c r="F57" s="30">
        <v>0</v>
      </c>
      <c r="G57" s="30">
        <v>1539157.4000000001</v>
      </c>
      <c r="H57" s="30"/>
      <c r="I57" s="30">
        <f>19611.4+25822.8+124981.5+150000</f>
        <v>320415.7</v>
      </c>
      <c r="J57" s="30">
        <v>12539.7</v>
      </c>
      <c r="K57" s="30">
        <v>713120.2</v>
      </c>
      <c r="L57" s="31">
        <f t="shared" si="21"/>
        <v>2585233</v>
      </c>
      <c r="M57" s="30">
        <v>485147.2</v>
      </c>
      <c r="N57" s="29">
        <v>76753.3</v>
      </c>
      <c r="O57" s="31">
        <f t="shared" si="10"/>
        <v>2023332.4999999998</v>
      </c>
      <c r="P57" s="36">
        <f>30626.8+101.6</f>
        <v>30728.399999999998</v>
      </c>
      <c r="Q57" s="31">
        <v>1360697.4</v>
      </c>
      <c r="R57" s="31">
        <v>311</v>
      </c>
      <c r="S57" s="29">
        <f t="shared" si="22"/>
        <v>1391736.7999999998</v>
      </c>
      <c r="T57" s="33">
        <f t="shared" si="12"/>
        <v>3415069.3</v>
      </c>
      <c r="U57" s="29">
        <f t="shared" si="13"/>
        <v>3135156.6999999997</v>
      </c>
    </row>
    <row r="58" spans="1:22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f t="shared" si="20"/>
        <v>-205016.10000000003</v>
      </c>
      <c r="F58" s="30">
        <v>0</v>
      </c>
      <c r="G58" s="30">
        <v>1614167.6</v>
      </c>
      <c r="H58" s="30"/>
      <c r="I58" s="30">
        <f>18210.4+27463+120782.7+150000+2000</f>
        <v>318456.09999999998</v>
      </c>
      <c r="J58" s="30">
        <v>6921.2</v>
      </c>
      <c r="K58" s="30">
        <v>708283.6</v>
      </c>
      <c r="L58" s="31">
        <f t="shared" si="21"/>
        <v>2647828.5</v>
      </c>
      <c r="M58" s="30">
        <v>548984.21651699999</v>
      </c>
      <c r="N58" s="29">
        <v>72918.899999999994</v>
      </c>
      <c r="O58" s="31">
        <f t="shared" si="10"/>
        <v>2025925.3834830001</v>
      </c>
      <c r="P58" s="36">
        <f>22343.7+101.6</f>
        <v>22445.3</v>
      </c>
      <c r="Q58" s="31">
        <v>1433932.7</v>
      </c>
      <c r="R58" s="31">
        <v>1185.1999999999998</v>
      </c>
      <c r="S58" s="29">
        <f t="shared" si="22"/>
        <v>1457563.2</v>
      </c>
      <c r="T58" s="33">
        <f t="shared" si="12"/>
        <v>3483488.5834830003</v>
      </c>
      <c r="U58" s="29">
        <f t="shared" si="13"/>
        <v>3278472.4834830002</v>
      </c>
    </row>
    <row r="59" spans="1:22" s="35" customFormat="1" ht="15.75">
      <c r="A59" s="47">
        <v>44286</v>
      </c>
      <c r="B59" s="30">
        <f>212738-331861.9</f>
        <v>-119123.90000000002</v>
      </c>
      <c r="C59" s="30">
        <f>210185.7-318779.1</f>
        <v>-108593.39999999997</v>
      </c>
      <c r="D59" s="30">
        <v>-81.7</v>
      </c>
      <c r="E59" s="29">
        <f t="shared" ref="E59:E60" si="23">+SUM(B59:D59)</f>
        <v>-227799</v>
      </c>
      <c r="F59" s="30">
        <v>0</v>
      </c>
      <c r="G59" s="30">
        <f>126464+1443480.7+78836.6</f>
        <v>1648781.3</v>
      </c>
      <c r="H59" s="30"/>
      <c r="I59" s="30">
        <f>28954.5+0+143124.3+150000+2000+4668.9</f>
        <v>328747.7</v>
      </c>
      <c r="J59" s="30">
        <v>4134.6000000000004</v>
      </c>
      <c r="K59" s="30">
        <v>703262.9</v>
      </c>
      <c r="L59" s="31">
        <f t="shared" ref="L59:L60" si="24">+SUM(F59:K59)</f>
        <v>2684926.5</v>
      </c>
      <c r="M59" s="30">
        <v>570127</v>
      </c>
      <c r="N59" s="29">
        <v>79893.7</v>
      </c>
      <c r="O59" s="31">
        <f t="shared" si="10"/>
        <v>2034905.8</v>
      </c>
      <c r="P59" s="36">
        <f>24586.6+101.6</f>
        <v>24688.199999999997</v>
      </c>
      <c r="Q59" s="31">
        <f>1453439.1+58063.3+81715.2</f>
        <v>1593217.6</v>
      </c>
      <c r="R59" s="31">
        <v>734.60000000000014</v>
      </c>
      <c r="S59" s="29">
        <f t="shared" ref="S59:S60" si="25">SUM(P59:R59)</f>
        <v>1618640.4000000001</v>
      </c>
      <c r="T59" s="33">
        <f t="shared" si="12"/>
        <v>3653546.2</v>
      </c>
      <c r="U59" s="29">
        <f t="shared" si="13"/>
        <v>3425747.2</v>
      </c>
    </row>
    <row r="60" spans="1:22" s="35" customFormat="1" ht="15.75">
      <c r="A60" s="47">
        <v>44377</v>
      </c>
      <c r="B60" s="30">
        <f>191742.9-306331.3</f>
        <v>-114588.4</v>
      </c>
      <c r="C60" s="30">
        <f>174837.1-365639.5</f>
        <v>-190802.4</v>
      </c>
      <c r="D60" s="30">
        <v>-118</v>
      </c>
      <c r="E60" s="29">
        <f t="shared" si="23"/>
        <v>-305508.8</v>
      </c>
      <c r="F60" s="30">
        <v>57076.7</v>
      </c>
      <c r="G60" s="30">
        <f>148924+1476613.7+93689.9</f>
        <v>1719227.5999999999</v>
      </c>
      <c r="H60" s="30"/>
      <c r="I60" s="30">
        <f>21693+127108.3+0+150000+11960.4+4668.9+29176.1+3728.9</f>
        <v>348335.60000000003</v>
      </c>
      <c r="J60" s="30">
        <v>0</v>
      </c>
      <c r="K60" s="30">
        <v>701028.8</v>
      </c>
      <c r="L60" s="31">
        <f t="shared" si="24"/>
        <v>2825668.7</v>
      </c>
      <c r="M60" s="30">
        <v>625806.5</v>
      </c>
      <c r="N60" s="29">
        <v>82601.5</v>
      </c>
      <c r="O60" s="31">
        <f t="shared" si="10"/>
        <v>2117260.7000000002</v>
      </c>
      <c r="P60" s="36">
        <f>26127+101.6</f>
        <v>26228.6</v>
      </c>
      <c r="Q60" s="31">
        <f>1654571.7+122479.4+58624.3</f>
        <v>1835675.4</v>
      </c>
      <c r="R60" s="31">
        <v>5539.4</v>
      </c>
      <c r="S60" s="29">
        <f t="shared" si="25"/>
        <v>1867443.4</v>
      </c>
      <c r="T60" s="33">
        <f t="shared" si="12"/>
        <v>3984704.1</v>
      </c>
      <c r="U60" s="29">
        <f t="shared" si="13"/>
        <v>3679195.3000000003</v>
      </c>
    </row>
    <row r="61" spans="1:22" s="35" customFormat="1" ht="15.75">
      <c r="A61" s="47">
        <v>44104</v>
      </c>
      <c r="B61" s="30">
        <v>-151024.20000000001</v>
      </c>
      <c r="C61" s="30">
        <v>-128888.4</v>
      </c>
      <c r="D61" s="30" t="s">
        <v>1</v>
      </c>
      <c r="E61" s="29">
        <f t="shared" ref="E61:E63" si="26">+SUM(B61:D61)</f>
        <v>-279912.59999999998</v>
      </c>
      <c r="F61" s="30">
        <v>0</v>
      </c>
      <c r="G61" s="30">
        <v>1539157.4000000001</v>
      </c>
      <c r="H61" s="30"/>
      <c r="I61" s="30">
        <f>19611.4+25822.8+124981.5+150000</f>
        <v>320415.7</v>
      </c>
      <c r="J61" s="30">
        <v>12539.7</v>
      </c>
      <c r="K61" s="30">
        <v>713120.2</v>
      </c>
      <c r="L61" s="31">
        <f t="shared" ref="L61:L63" si="27">+SUM(F61:K61)</f>
        <v>2585233</v>
      </c>
      <c r="M61" s="30">
        <v>485147.2</v>
      </c>
      <c r="N61" s="29">
        <v>76753.3</v>
      </c>
      <c r="O61" s="31">
        <f t="shared" si="10"/>
        <v>2023332.4999999998</v>
      </c>
      <c r="P61" s="36">
        <f>30626.8+101.6</f>
        <v>30728.399999999998</v>
      </c>
      <c r="Q61" s="31">
        <v>1349647.4</v>
      </c>
      <c r="R61" s="31">
        <v>311</v>
      </c>
      <c r="S61" s="29">
        <f t="shared" ref="S61:S63" si="28">SUM(P61:R61)</f>
        <v>1380686.7999999998</v>
      </c>
      <c r="T61" s="33">
        <f t="shared" si="12"/>
        <v>3404019.3</v>
      </c>
      <c r="U61" s="29">
        <f t="shared" si="13"/>
        <v>3124106.6999999997</v>
      </c>
    </row>
    <row r="62" spans="1:22" s="35" customFormat="1" ht="15.75">
      <c r="A62" s="47">
        <v>44196</v>
      </c>
      <c r="B62" s="30">
        <v>-93105.300000000017</v>
      </c>
      <c r="C62" s="30">
        <v>-111910.80000000002</v>
      </c>
      <c r="D62" s="30" t="s">
        <v>1</v>
      </c>
      <c r="E62" s="29">
        <f t="shared" ref="E62" si="29">+SUM(B62:D62)</f>
        <v>-205016.10000000003</v>
      </c>
      <c r="F62" s="30">
        <v>0</v>
      </c>
      <c r="G62" s="30">
        <v>1614167.6</v>
      </c>
      <c r="H62" s="30"/>
      <c r="I62" s="30">
        <f>18210.4+27463+120782.7+150000+2000</f>
        <v>318456.09999999998</v>
      </c>
      <c r="J62" s="30">
        <v>6921.2</v>
      </c>
      <c r="K62" s="30">
        <v>708283.6</v>
      </c>
      <c r="L62" s="31">
        <f t="shared" ref="L62" si="30">+SUM(F62:K62)</f>
        <v>2647828.5</v>
      </c>
      <c r="M62" s="30">
        <v>549158.91651699995</v>
      </c>
      <c r="N62" s="29">
        <v>72918.899999999994</v>
      </c>
      <c r="O62" s="31">
        <f t="shared" si="10"/>
        <v>2025750.6834830004</v>
      </c>
      <c r="P62" s="36">
        <f>22343.7+101.6</f>
        <v>22445.3</v>
      </c>
      <c r="Q62" s="31">
        <v>1413651.5</v>
      </c>
      <c r="R62" s="31">
        <v>1185.1999999999998</v>
      </c>
      <c r="S62" s="29">
        <f t="shared" ref="S62" si="31">SUM(P62:R62)</f>
        <v>1437282</v>
      </c>
      <c r="T62" s="33">
        <f t="shared" si="12"/>
        <v>3463032.6834830004</v>
      </c>
      <c r="U62" s="29">
        <f t="shared" si="13"/>
        <v>3258016.5834830003</v>
      </c>
    </row>
    <row r="63" spans="1:22" s="35" customFormat="1" ht="15.75">
      <c r="A63" s="47">
        <v>44286</v>
      </c>
      <c r="B63" s="30">
        <f>212738-331861.9</f>
        <v>-119123.90000000002</v>
      </c>
      <c r="C63" s="30">
        <f>210185.7-318779.1</f>
        <v>-108593.39999999997</v>
      </c>
      <c r="D63" s="30">
        <v>-81.7</v>
      </c>
      <c r="E63" s="29">
        <f t="shared" si="26"/>
        <v>-227799</v>
      </c>
      <c r="F63" s="30">
        <v>0</v>
      </c>
      <c r="G63" s="30">
        <f>126464+1443480.7+78836.6</f>
        <v>1648781.3</v>
      </c>
      <c r="H63" s="30"/>
      <c r="I63" s="30">
        <f>28954.5+0+143124.3+150000+2000+4668.9</f>
        <v>328747.7</v>
      </c>
      <c r="J63" s="30">
        <v>4134.6000000000004</v>
      </c>
      <c r="K63" s="30">
        <v>703262.9</v>
      </c>
      <c r="L63" s="31">
        <f t="shared" si="27"/>
        <v>2684926.5</v>
      </c>
      <c r="M63" s="30">
        <v>570127</v>
      </c>
      <c r="N63" s="29">
        <v>79893.7</v>
      </c>
      <c r="O63" s="31">
        <f t="shared" si="10"/>
        <v>2034905.8</v>
      </c>
      <c r="P63" s="36">
        <f>24586.6+101.6</f>
        <v>24688.199999999997</v>
      </c>
      <c r="Q63" s="31">
        <v>1524807.0000000002</v>
      </c>
      <c r="R63" s="31">
        <v>734.60000000000014</v>
      </c>
      <c r="S63" s="29">
        <f t="shared" si="28"/>
        <v>1550229.8000000003</v>
      </c>
      <c r="T63" s="33">
        <f t="shared" si="12"/>
        <v>3585135.6000000006</v>
      </c>
      <c r="U63" s="29">
        <f t="shared" si="13"/>
        <v>3357336.6000000006</v>
      </c>
    </row>
    <row r="64" spans="1:22" s="35" customFormat="1" ht="15.75">
      <c r="A64" s="47">
        <v>44377</v>
      </c>
      <c r="B64" s="30">
        <f>191742.9-306331.3</f>
        <v>-114588.4</v>
      </c>
      <c r="C64" s="30">
        <f>174837.1-365639.5</f>
        <v>-190802.4</v>
      </c>
      <c r="D64" s="30">
        <v>-118</v>
      </c>
      <c r="E64" s="29">
        <f t="shared" ref="E64:E66" si="32">+SUM(B64:D64)</f>
        <v>-305508.8</v>
      </c>
      <c r="F64" s="30">
        <v>57076.7</v>
      </c>
      <c r="G64" s="30">
        <f>148924+1476613.7+93689.9</f>
        <v>1719227.5999999999</v>
      </c>
      <c r="H64" s="30"/>
      <c r="I64" s="30">
        <f>20582.4+127108.3+0+150000+11960.4+4668.9+29176.1+3728.9</f>
        <v>347225.00000000006</v>
      </c>
      <c r="J64" s="30">
        <v>0</v>
      </c>
      <c r="K64" s="30">
        <v>701028.8</v>
      </c>
      <c r="L64" s="31">
        <f t="shared" ref="L64:L66" si="33">+SUM(F64:K64)</f>
        <v>2824558.0999999996</v>
      </c>
      <c r="M64" s="30">
        <v>625806.5</v>
      </c>
      <c r="N64" s="29">
        <v>82601.5</v>
      </c>
      <c r="O64" s="31">
        <f t="shared" si="10"/>
        <v>2116150.0999999996</v>
      </c>
      <c r="P64" s="36">
        <f>26127+101.6</f>
        <v>26228.6</v>
      </c>
      <c r="Q64" s="31">
        <v>1724195.7</v>
      </c>
      <c r="R64" s="31">
        <v>5539.4</v>
      </c>
      <c r="S64" s="29">
        <f t="shared" ref="S64:S66" si="34">SUM(P64:R64)</f>
        <v>1755963.7</v>
      </c>
      <c r="T64" s="33">
        <f t="shared" si="12"/>
        <v>3872113.8</v>
      </c>
      <c r="U64" s="29">
        <f t="shared" si="13"/>
        <v>3566605</v>
      </c>
    </row>
    <row r="65" spans="1:23" s="35" customFormat="1" ht="18">
      <c r="A65" s="47" t="s">
        <v>60</v>
      </c>
      <c r="B65" s="30">
        <f>619116.9-769655.5</f>
        <v>-150538.59999999998</v>
      </c>
      <c r="C65" s="30">
        <f>174824.4-429239.7</f>
        <v>-254415.30000000002</v>
      </c>
      <c r="D65" s="30">
        <v>-210</v>
      </c>
      <c r="E65" s="29">
        <f t="shared" si="32"/>
        <v>-405163.9</v>
      </c>
      <c r="F65" s="30">
        <v>0</v>
      </c>
      <c r="G65" s="30">
        <f>195803.2+1535241.8+100279.1</f>
        <v>1831324.1</v>
      </c>
      <c r="H65" s="30"/>
      <c r="I65" s="30">
        <f>23801.5+117313.3+0+150000+11960.4+4668.9+29176.1+10252</f>
        <v>347172.2</v>
      </c>
      <c r="J65" s="30">
        <v>0</v>
      </c>
      <c r="K65" s="30">
        <v>697339.3</v>
      </c>
      <c r="L65" s="31">
        <f t="shared" si="33"/>
        <v>2875835.6000000006</v>
      </c>
      <c r="M65" s="30">
        <v>651228.69999999995</v>
      </c>
      <c r="N65" s="29">
        <v>81058.8</v>
      </c>
      <c r="O65" s="31">
        <f t="shared" si="10"/>
        <v>2143548.1000000006</v>
      </c>
      <c r="P65" s="36">
        <f>25612.6+101.6</f>
        <v>25714.199999999997</v>
      </c>
      <c r="Q65" s="31">
        <f>2070903.3+5112.7+63909.6</f>
        <v>2139925.6</v>
      </c>
      <c r="R65" s="31">
        <v>337.9</v>
      </c>
      <c r="S65" s="29">
        <f t="shared" si="34"/>
        <v>2165977.7000000002</v>
      </c>
      <c r="T65" s="33">
        <f t="shared" si="12"/>
        <v>4309525.8000000007</v>
      </c>
      <c r="U65" s="29">
        <f t="shared" si="13"/>
        <v>3904361.9000000008</v>
      </c>
    </row>
    <row r="66" spans="1:23" s="35" customFormat="1" ht="18">
      <c r="A66" s="47" t="s">
        <v>65</v>
      </c>
      <c r="B66" s="30">
        <f>593226.4-734574.5</f>
        <v>-141348.09999999998</v>
      </c>
      <c r="C66" s="30">
        <f>185283.8-366326.2</f>
        <v>-181042.40000000002</v>
      </c>
      <c r="D66" s="30">
        <v>-210</v>
      </c>
      <c r="E66" s="29">
        <f t="shared" si="32"/>
        <v>-322600.5</v>
      </c>
      <c r="F66" s="30">
        <v>36124.9</v>
      </c>
      <c r="G66" s="30">
        <f>135495.9+1574632.6+105929.2</f>
        <v>1816057.7</v>
      </c>
      <c r="H66" s="30"/>
      <c r="I66" s="30">
        <f>17657.2+97957+113333.3+17520.8+4668.9+28191.3+10728.2</f>
        <v>290056.7</v>
      </c>
      <c r="J66" s="30">
        <v>0</v>
      </c>
      <c r="K66" s="30">
        <v>690961.7</v>
      </c>
      <c r="L66" s="31">
        <f t="shared" si="33"/>
        <v>2833201</v>
      </c>
      <c r="M66" s="30">
        <v>824959</v>
      </c>
      <c r="N66" s="29">
        <v>75800.899999999994</v>
      </c>
      <c r="O66" s="31">
        <f t="shared" si="10"/>
        <v>1932441.1</v>
      </c>
      <c r="P66" s="36">
        <f>24992.2+101.6</f>
        <v>25093.8</v>
      </c>
      <c r="Q66" s="31">
        <f>2257840.8+5112.7+63987.2</f>
        <v>2326940.7000000002</v>
      </c>
      <c r="R66" s="31">
        <v>256.5</v>
      </c>
      <c r="S66" s="29">
        <f t="shared" si="34"/>
        <v>2352291</v>
      </c>
      <c r="T66" s="33">
        <f t="shared" si="12"/>
        <v>4284732.0999999996</v>
      </c>
      <c r="U66" s="29">
        <f t="shared" si="13"/>
        <v>3962131.5999999996</v>
      </c>
    </row>
    <row r="67" spans="1:23" s="48" customFormat="1" ht="19.5">
      <c r="A67" s="57" t="s">
        <v>54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9"/>
      <c r="W67" s="49"/>
    </row>
    <row r="68" spans="1:23" s="35" customFormat="1" ht="15.7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2"/>
      <c r="V68" s="34"/>
    </row>
    <row r="69" spans="1:23" s="35" customFormat="1" ht="15.75">
      <c r="A69" s="50" t="s">
        <v>52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34"/>
    </row>
  </sheetData>
  <mergeCells count="11">
    <mergeCell ref="E2:G2"/>
    <mergeCell ref="A69:U69"/>
    <mergeCell ref="A4:A6"/>
    <mergeCell ref="B4:E5"/>
    <mergeCell ref="F4:O4"/>
    <mergeCell ref="P4:T4"/>
    <mergeCell ref="A67:U68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7"/>
  <sheetViews>
    <sheetView workbookViewId="0">
      <pane xSplit="1" ySplit="6" topLeftCell="U16" activePane="bottomRight" state="frozen"/>
      <selection pane="topRight" activeCell="B1" sqref="B1"/>
      <selection pane="bottomLeft" activeCell="A7" sqref="A7"/>
      <selection pane="bottomRight" activeCell="V21" sqref="A21:XFD21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3" t="s">
        <v>51</v>
      </c>
      <c r="F2" s="53"/>
      <c r="G2" s="53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90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20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" si="14">SUM(P18:R18)</f>
        <v>1208667.7000000002</v>
      </c>
      <c r="T18" s="33">
        <f t="shared" ref="T18:T20" si="15">SUM(O18,S18)</f>
        <v>2827585.3</v>
      </c>
      <c r="U18" s="29">
        <f t="shared" ref="U18:U20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ref="E19" si="17">+SUM(B19:D19)</f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8">+SUM(F19:K19)</f>
        <v>2647828.5</v>
      </c>
      <c r="M19" s="30">
        <v>549158.91651699995</v>
      </c>
      <c r="N19" s="29">
        <v>72918.899999999994</v>
      </c>
      <c r="O19" s="31">
        <f t="shared" si="8"/>
        <v>2025750.6834830004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ref="S19" si="19">SUM(P19:R19)</f>
        <v>1437282</v>
      </c>
      <c r="T19" s="33">
        <f t="shared" si="15"/>
        <v>3463032.6834830004</v>
      </c>
      <c r="U19" s="29">
        <f t="shared" si="16"/>
        <v>3258016.5834830003</v>
      </c>
    </row>
    <row r="20" spans="1:22" s="35" customFormat="1" ht="15.75">
      <c r="A20" s="45">
        <v>2021</v>
      </c>
      <c r="B20" s="30">
        <f>593226.4-734574.5</f>
        <v>-141348.09999999998</v>
      </c>
      <c r="C20" s="30">
        <f>185283.8-366326.2</f>
        <v>-181042.40000000002</v>
      </c>
      <c r="D20" s="30">
        <v>-210</v>
      </c>
      <c r="E20" s="29">
        <f t="shared" ref="E20" si="20">+SUM(B20:D20)</f>
        <v>-322600.5</v>
      </c>
      <c r="F20" s="30">
        <v>36124.9</v>
      </c>
      <c r="G20" s="30">
        <f>135495.9+1574632.6+105929.2</f>
        <v>1816057.7</v>
      </c>
      <c r="H20" s="30"/>
      <c r="I20" s="30">
        <f>17657.2+97957+113333.3+17520.8+4668.9+28191.3+10728.2</f>
        <v>290056.7</v>
      </c>
      <c r="J20" s="30">
        <v>0</v>
      </c>
      <c r="K20" s="30">
        <v>690961.7</v>
      </c>
      <c r="L20" s="31">
        <f t="shared" ref="L20" si="21">+SUM(F20:K20)</f>
        <v>2833201</v>
      </c>
      <c r="M20" s="30">
        <v>824959</v>
      </c>
      <c r="N20" s="29">
        <v>75800.899999999994</v>
      </c>
      <c r="O20" s="31">
        <f t="shared" si="8"/>
        <v>1932441.1</v>
      </c>
      <c r="P20" s="36">
        <f>24992.2+101.6</f>
        <v>25093.8</v>
      </c>
      <c r="Q20" s="31">
        <f>2257840.8+5112.7+63987.2</f>
        <v>2326940.7000000002</v>
      </c>
      <c r="R20" s="31">
        <v>256.5</v>
      </c>
      <c r="S20" s="29">
        <f t="shared" ref="S20" si="22">SUM(P20:R20)</f>
        <v>2352291</v>
      </c>
      <c r="T20" s="33">
        <f t="shared" si="15"/>
        <v>4284732.0999999996</v>
      </c>
      <c r="U20" s="29">
        <f t="shared" si="16"/>
        <v>3962131.5999999996</v>
      </c>
    </row>
    <row r="21" spans="1:22" s="35" customFormat="1" ht="15.75">
      <c r="A21" s="57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34"/>
    </row>
    <row r="22" spans="1:22" s="35" customFormat="1" ht="15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34"/>
    </row>
    <row r="23" spans="1:22" s="35" customFormat="1" ht="15.75">
      <c r="A23" s="5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34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</sheetData>
  <mergeCells count="11">
    <mergeCell ref="A23:U23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2022-05-04T12:39:15Z</dcterms:modified>
</cp:coreProperties>
</file>