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Monnaie-crédit en Anglais DECEMBER 2022\"/>
    </mc:Choice>
  </mc:AlternateContent>
  <bookViews>
    <workbookView xWindow="0" yWindow="0" windowWidth="24000" windowHeight="9135" activeTab="3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9" i="7" l="1"/>
  <c r="S19" i="7" s="1"/>
  <c r="I19" i="7"/>
  <c r="L19" i="7" s="1"/>
  <c r="O19" i="7" s="1"/>
  <c r="T19" i="7" s="1"/>
  <c r="U19" i="7" s="1"/>
  <c r="E19" i="7"/>
  <c r="P62" i="6"/>
  <c r="S62" i="6" s="1"/>
  <c r="I62" i="6"/>
  <c r="L62" i="6" s="1"/>
  <c r="O62" i="6" s="1"/>
  <c r="T62" i="6" s="1"/>
  <c r="U62" i="6" s="1"/>
  <c r="E62" i="6"/>
  <c r="P162" i="5"/>
  <c r="S162" i="5" s="1"/>
  <c r="I162" i="5"/>
  <c r="L162" i="5" s="1"/>
  <c r="O162" i="5" s="1"/>
  <c r="T162" i="5" s="1"/>
  <c r="E162" i="5"/>
  <c r="U162" i="5" l="1"/>
  <c r="P61" i="6" l="1"/>
  <c r="S61" i="6" s="1"/>
  <c r="I61" i="6"/>
  <c r="L61" i="6" s="1"/>
  <c r="O61" i="6" s="1"/>
  <c r="T61" i="6" s="1"/>
  <c r="E61" i="6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T158" i="5" l="1"/>
  <c r="U158" i="5" s="1"/>
  <c r="T160" i="5"/>
  <c r="U160" i="5" s="1"/>
  <c r="U61" i="6"/>
  <c r="T157" i="5"/>
  <c r="U157" i="5" s="1"/>
  <c r="T159" i="5"/>
  <c r="U159" i="5" s="1"/>
  <c r="T161" i="5"/>
  <c r="U161" i="5" s="1"/>
  <c r="Q60" i="6"/>
  <c r="P60" i="6"/>
  <c r="I60" i="6"/>
  <c r="G60" i="6"/>
  <c r="L60" i="6" s="1"/>
  <c r="O60" i="6" s="1"/>
  <c r="C60" i="6"/>
  <c r="B60" i="6"/>
  <c r="E60" i="6" s="1"/>
  <c r="Q59" i="6"/>
  <c r="P59" i="6"/>
  <c r="S59" i="6" s="1"/>
  <c r="I59" i="6"/>
  <c r="G59" i="6"/>
  <c r="C59" i="6"/>
  <c r="B59" i="6"/>
  <c r="E59" i="6" s="1"/>
  <c r="L59" i="6" l="1"/>
  <c r="O59" i="6" s="1"/>
  <c r="S60" i="6"/>
  <c r="T60" i="6" s="1"/>
  <c r="U60" i="6" s="1"/>
  <c r="T59" i="6"/>
  <c r="U59" i="6" s="1"/>
  <c r="P18" i="7"/>
  <c r="S18" i="7" s="1"/>
  <c r="L18" i="7"/>
  <c r="O18" i="7" s="1"/>
  <c r="T18" i="7" s="1"/>
  <c r="E18" i="7"/>
  <c r="P58" i="6"/>
  <c r="S58" i="6" s="1"/>
  <c r="I58" i="6"/>
  <c r="L58" i="6" s="1"/>
  <c r="O58" i="6" s="1"/>
  <c r="T58" i="6" s="1"/>
  <c r="E58" i="6"/>
  <c r="P57" i="6"/>
  <c r="S57" i="6" s="1"/>
  <c r="I57" i="6"/>
  <c r="L57" i="6" s="1"/>
  <c r="O57" i="6" s="1"/>
  <c r="E57" i="6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P156" i="5"/>
  <c r="S156" i="5" s="1"/>
  <c r="I156" i="5"/>
  <c r="L156" i="5" s="1"/>
  <c r="O156" i="5" s="1"/>
  <c r="T156" i="5" s="1"/>
  <c r="C156" i="5"/>
  <c r="B156" i="5"/>
  <c r="E156" i="5" s="1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E152" i="5" s="1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E147" i="5" s="1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S147" i="5" l="1"/>
  <c r="T147" i="5" s="1"/>
  <c r="U147" i="5" s="1"/>
  <c r="E154" i="5"/>
  <c r="U18" i="7"/>
  <c r="E149" i="5"/>
  <c r="T153" i="5"/>
  <c r="E146" i="5"/>
  <c r="E148" i="5"/>
  <c r="E153" i="5"/>
  <c r="U153" i="5" s="1"/>
  <c r="E56" i="6"/>
  <c r="E53" i="6"/>
  <c r="T56" i="6"/>
  <c r="U58" i="6"/>
  <c r="S53" i="6"/>
  <c r="T53" i="6" s="1"/>
  <c r="U53" i="6" s="1"/>
  <c r="T54" i="6"/>
  <c r="U54" i="6" s="1"/>
  <c r="T55" i="6"/>
  <c r="T57" i="6"/>
  <c r="U57" i="6" s="1"/>
  <c r="E55" i="6"/>
  <c r="E155" i="5"/>
  <c r="T148" i="5"/>
  <c r="T150" i="5"/>
  <c r="U150" i="5" s="1"/>
  <c r="E145" i="5"/>
  <c r="U146" i="5"/>
  <c r="U156" i="5"/>
  <c r="T145" i="5"/>
  <c r="T155" i="5"/>
  <c r="T152" i="5"/>
  <c r="U152" i="5" s="1"/>
  <c r="T146" i="5"/>
  <c r="T149" i="5"/>
  <c r="T151" i="5"/>
  <c r="U151" i="5" s="1"/>
  <c r="T154" i="5"/>
  <c r="U154" i="5" l="1"/>
  <c r="U149" i="5"/>
  <c r="U148" i="5"/>
  <c r="U145" i="5"/>
  <c r="U56" i="6"/>
  <c r="U55" i="6"/>
  <c r="U155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T141" i="5" s="1"/>
  <c r="E141" i="5"/>
  <c r="S140" i="5"/>
  <c r="L140" i="5"/>
  <c r="O140" i="5" s="1"/>
  <c r="T140" i="5" s="1"/>
  <c r="E140" i="5"/>
  <c r="S139" i="5"/>
  <c r="L139" i="5"/>
  <c r="O139" i="5" s="1"/>
  <c r="E139" i="5"/>
  <c r="T144" i="5" l="1"/>
  <c r="T143" i="5"/>
  <c r="T142" i="5"/>
  <c r="E143" i="5"/>
  <c r="E52" i="6"/>
  <c r="T51" i="6"/>
  <c r="U51" i="6" s="1"/>
  <c r="T52" i="6"/>
  <c r="U52" i="6" s="1"/>
  <c r="E144" i="5"/>
  <c r="U140" i="5"/>
  <c r="E142" i="5"/>
  <c r="T139" i="5"/>
  <c r="U139" i="5" s="1"/>
  <c r="U141" i="5"/>
  <c r="U144" i="5" l="1"/>
  <c r="U142" i="5"/>
  <c r="U143" i="5"/>
  <c r="S138" i="5" l="1"/>
  <c r="L138" i="5"/>
  <c r="O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E132" i="5"/>
  <c r="S131" i="5"/>
  <c r="L131" i="5"/>
  <c r="O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E128" i="5"/>
  <c r="S127" i="5"/>
  <c r="L127" i="5"/>
  <c r="O127" i="5" s="1"/>
  <c r="E127" i="5"/>
  <c r="T131" i="5" l="1"/>
  <c r="U131" i="5" s="1"/>
  <c r="T133" i="5"/>
  <c r="U133" i="5" s="1"/>
  <c r="T134" i="5"/>
  <c r="U134" i="5" s="1"/>
  <c r="T129" i="5"/>
  <c r="U129" i="5" s="1"/>
  <c r="T137" i="5"/>
  <c r="U137" i="5" s="1"/>
  <c r="T132" i="5"/>
  <c r="U132" i="5" s="1"/>
  <c r="T135" i="5"/>
  <c r="U135" i="5" s="1"/>
  <c r="T130" i="5"/>
  <c r="U130" i="5" s="1"/>
  <c r="T138" i="5"/>
  <c r="U138" i="5" s="1"/>
  <c r="T127" i="5"/>
  <c r="U127" i="5" s="1"/>
  <c r="T128" i="5"/>
  <c r="U128" i="5" s="1"/>
  <c r="T136" i="5"/>
  <c r="U136" i="5" s="1"/>
  <c r="S17" i="7" l="1"/>
  <c r="L17" i="7"/>
  <c r="O17" i="7" s="1"/>
  <c r="E17" i="7"/>
  <c r="Q16" i="7"/>
  <c r="P16" i="7"/>
  <c r="S16" i="7" s="1"/>
  <c r="G16" i="7"/>
  <c r="L16" i="7" s="1"/>
  <c r="O16" i="7" s="1"/>
  <c r="C16" i="7"/>
  <c r="E16" i="7" s="1"/>
  <c r="S50" i="6"/>
  <c r="L50" i="6"/>
  <c r="O50" i="6" s="1"/>
  <c r="E50" i="6"/>
  <c r="S49" i="6"/>
  <c r="L49" i="6"/>
  <c r="O49" i="6" s="1"/>
  <c r="T49" i="6" s="1"/>
  <c r="E49" i="6"/>
  <c r="S48" i="6"/>
  <c r="L48" i="6"/>
  <c r="O48" i="6" s="1"/>
  <c r="E48" i="6"/>
  <c r="S47" i="6"/>
  <c r="L47" i="6"/>
  <c r="O47" i="6" s="1"/>
  <c r="E47" i="6"/>
  <c r="S46" i="6"/>
  <c r="L46" i="6"/>
  <c r="O46" i="6" s="1"/>
  <c r="E46" i="6"/>
  <c r="S126" i="5"/>
  <c r="L126" i="5"/>
  <c r="O126" i="5" s="1"/>
  <c r="E126" i="5"/>
  <c r="T17" i="7" l="1"/>
  <c r="U17" i="7" s="1"/>
  <c r="T16" i="7"/>
  <c r="U16" i="7" s="1"/>
  <c r="U49" i="6"/>
  <c r="T46" i="6"/>
  <c r="U46" i="6" s="1"/>
  <c r="T47" i="6"/>
  <c r="U47" i="6" s="1"/>
  <c r="T50" i="6"/>
  <c r="U50" i="6" s="1"/>
  <c r="T48" i="6"/>
  <c r="U48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L82" i="5"/>
  <c r="O82" i="5" s="1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L66" i="5"/>
  <c r="O66" i="5" s="1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E15" i="5"/>
  <c r="S14" i="5"/>
  <c r="L14" i="5"/>
  <c r="O14" i="5" s="1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E7" i="5"/>
  <c r="T10" i="7" l="1"/>
  <c r="T38" i="6"/>
  <c r="U38" i="6" s="1"/>
  <c r="T34" i="6"/>
  <c r="U34" i="6" s="1"/>
  <c r="T42" i="6"/>
  <c r="U42" i="6" s="1"/>
  <c r="T27" i="6"/>
  <c r="U27" i="6" s="1"/>
  <c r="T12" i="7"/>
  <c r="U12" i="7" s="1"/>
  <c r="U10" i="7"/>
  <c r="T9" i="7"/>
  <c r="U9" i="7" s="1"/>
  <c r="T15" i="5"/>
  <c r="U15" i="5" s="1"/>
  <c r="T23" i="5"/>
  <c r="U23" i="5" s="1"/>
  <c r="T31" i="5"/>
  <c r="U31" i="5" s="1"/>
  <c r="T103" i="5"/>
  <c r="U103" i="5" s="1"/>
  <c r="T111" i="5"/>
  <c r="U111" i="5" s="1"/>
  <c r="T119" i="5"/>
  <c r="U119" i="5" s="1"/>
  <c r="T43" i="5"/>
  <c r="U43" i="5" s="1"/>
  <c r="T59" i="5"/>
  <c r="U59" i="5" s="1"/>
  <c r="T91" i="5"/>
  <c r="U91" i="5" s="1"/>
  <c r="T99" i="5"/>
  <c r="U99" i="5" s="1"/>
  <c r="T107" i="5"/>
  <c r="U107" i="5" s="1"/>
  <c r="T8" i="7"/>
  <c r="U8" i="7" s="1"/>
  <c r="T13" i="7"/>
  <c r="U13" i="7" s="1"/>
  <c r="T15" i="7"/>
  <c r="U15" i="7" s="1"/>
  <c r="T29" i="6"/>
  <c r="U29" i="6" s="1"/>
  <c r="T22" i="6"/>
  <c r="U22" i="6" s="1"/>
  <c r="T43" i="6"/>
  <c r="U43" i="6" s="1"/>
  <c r="T10" i="6"/>
  <c r="U10" i="6" s="1"/>
  <c r="T23" i="6"/>
  <c r="U23" i="6" s="1"/>
  <c r="T18" i="6"/>
  <c r="U18" i="6" s="1"/>
  <c r="T26" i="6"/>
  <c r="U26" i="6" s="1"/>
  <c r="T45" i="6"/>
  <c r="U45" i="6" s="1"/>
  <c r="T7" i="6"/>
  <c r="U7" i="6" s="1"/>
  <c r="T13" i="6"/>
  <c r="U13" i="6" s="1"/>
  <c r="T11" i="6"/>
  <c r="U11" i="6" s="1"/>
  <c r="T39" i="6"/>
  <c r="U39" i="6" s="1"/>
  <c r="T14" i="5"/>
  <c r="U14" i="5" s="1"/>
  <c r="T7" i="5"/>
  <c r="U7" i="5" s="1"/>
  <c r="T39" i="5"/>
  <c r="U39" i="5" s="1"/>
  <c r="T55" i="5"/>
  <c r="U55" i="5" s="1"/>
  <c r="T63" i="5"/>
  <c r="U63" i="5" s="1"/>
  <c r="T11" i="5"/>
  <c r="U11" i="5" s="1"/>
  <c r="T15" i="6"/>
  <c r="U15" i="6" s="1"/>
  <c r="T30" i="6"/>
  <c r="U30" i="6" s="1"/>
  <c r="T35" i="6"/>
  <c r="U35" i="6" s="1"/>
  <c r="T33" i="6"/>
  <c r="U33" i="6" s="1"/>
  <c r="T31" i="6"/>
  <c r="U31" i="6" s="1"/>
  <c r="T14" i="6"/>
  <c r="U14" i="6" s="1"/>
  <c r="T19" i="6"/>
  <c r="U19" i="6" s="1"/>
  <c r="T71" i="5"/>
  <c r="U71" i="5" s="1"/>
  <c r="T79" i="5"/>
  <c r="U79" i="5" s="1"/>
  <c r="T27" i="5"/>
  <c r="U27" i="5" s="1"/>
  <c r="T87" i="5"/>
  <c r="U87" i="5" s="1"/>
  <c r="T95" i="5"/>
  <c r="U95" i="5" s="1"/>
  <c r="T121" i="5"/>
  <c r="U121" i="5" s="1"/>
  <c r="T75" i="5"/>
  <c r="U75" i="5" s="1"/>
  <c r="T47" i="5"/>
  <c r="U47" i="5" s="1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T78" i="5"/>
  <c r="U78" i="5" s="1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T22" i="5"/>
  <c r="U22" i="5" s="1"/>
  <c r="T54" i="5"/>
  <c r="U54" i="5" s="1"/>
  <c r="T86" i="5"/>
  <c r="U86" i="5" s="1"/>
  <c r="T118" i="5"/>
  <c r="U118" i="5" s="1"/>
  <c r="T46" i="5"/>
  <c r="U46" i="5" s="1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T94" i="5"/>
  <c r="U94" i="5" s="1"/>
  <c r="T12" i="5"/>
  <c r="U12" i="5" s="1"/>
  <c r="T18" i="5"/>
  <c r="U18" i="5" s="1"/>
  <c r="T28" i="5"/>
  <c r="U28" i="5" s="1"/>
  <c r="T33" i="5"/>
  <c r="U33" i="5" s="1"/>
  <c r="T50" i="5"/>
  <c r="U50" i="5" s="1"/>
  <c r="T60" i="5"/>
  <c r="U60" i="5" s="1"/>
  <c r="T65" i="5"/>
  <c r="U65" i="5" s="1"/>
  <c r="T82" i="5"/>
  <c r="U82" i="5" s="1"/>
  <c r="T92" i="5"/>
  <c r="U92" i="5" s="1"/>
  <c r="T97" i="5"/>
  <c r="U97" i="5" s="1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<sst xmlns="http://schemas.openxmlformats.org/spreadsheetml/2006/main" count="403" uniqueCount="74">
  <si>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</si>
  <si>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</si>
  <si>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</si>
  <si>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</si>
  <si>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</si>
  <si>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</si>
  <si>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</si>
  <si>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</si>
  <si>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</si>
  <si>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</si>
  <si>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</si>
  <si>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</si>
  <si>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</si>
  <si>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</si>
  <si>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</si>
  <si>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</si>
  <si>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</si>
  <si>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</si>
  <si>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</si>
  <si>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</si>
  <si>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</si>
  <si>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</si>
  <si>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</si>
  <si>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</si>
  <si>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</si>
  <si>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</si>
  <si>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</si>
  <si>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</si>
  <si>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</si>
  <si>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</si>
  <si>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</si>
  <si>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</si>
  <si>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</si>
  <si>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</si>
  <si>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</si>
  <si>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</si>
  <si>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</si>
  <si>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</si>
  <si>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</si>
  <si>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</si>
  <si>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</si>
  <si>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</si>
  <si>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</si>
  <si>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</si>
  <si>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</si>
  <si>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</si>
  <si>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</si>
  <si>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</si>
  <si>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</si>
  <si>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</si>
  <si>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</si>
  <si>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</si>
  <si>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</si>
  <si>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</si>
  <si>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</si>
  <si>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</si>
  <si>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</si>
  <si>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 xml:space="preserve"> Microfinance Institutions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</si>
  <si>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</si>
  <si>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</si>
  <si>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 xml:space="preserve"> 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</si>
  <si>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</si>
  <si>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</si>
  <si>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</si>
  <si>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</si>
  <si>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</si>
  <si>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</si>
  <si>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</si>
  <si>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</si>
  <si>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</si>
  <si>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</si>
  <si>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</si>
  <si>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</si>
  <si>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Dec-22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</si>
</sst>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  <numFmt numFmtId="171" formatCode="[$-409]mmmm\-yy;@"/>
  </numFmts>
  <fonts count="20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79">
    <xf numFmtId="166" fontId="0" fillId="0" borderId="0" xfId="0"/>
    <xf numFmtId="166" fontId="2" fillId="0" borderId="0" xfId="0" applyFont="1"/>
    <xf numFmtId="168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applyNumberFormat="1" applyFont="1" applyFill="1" applyBorder="1" applyAlignment="1" applyProtection="1">
      <alignment horizontal="right"/>
    </xf>
    <xf numFmtId="167" fontId="2" fillId="2" borderId="10" xfId="0" applyNumberFormat="1" applyFont="1" applyFill="1" applyBorder="1" applyAlignment="1" applyProtection="1">
      <alignment horizontal="right"/>
    </xf>
    <xf numFmtId="165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quotePrefix="1" applyNumberFormat="1" applyFont="1" applyFill="1" applyBorder="1" applyAlignment="1" applyProtection="1">
      <alignment horizontal="right"/>
    </xf>
    <xf numFmtId="166" fontId="2" fillId="0" borderId="10" xfId="0" applyNumberFormat="1" applyFont="1" applyBorder="1" applyProtection="1"/>
    <xf numFmtId="166" fontId="2" fillId="0" borderId="10" xfId="0" applyFont="1" applyBorder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9" fillId="0" borderId="9" xfId="0" applyFont="1" applyBorder="1" applyAlignment="1">
      <alignment horizontal="center"/>
    </xf>
    <xf numFmtId="166" fontId="10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4" fillId="0" borderId="0" xfId="0" applyFont="1" applyBorder="1"/>
    <xf numFmtId="166" fontId="14" fillId="0" borderId="0" xfId="0" applyFont="1"/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fill"/>
    </xf>
    <xf numFmtId="167" fontId="12" fillId="0" borderId="10" xfId="0" applyNumberFormat="1" applyFont="1" applyFill="1" applyBorder="1" applyAlignment="1" applyProtection="1">
      <alignment horizontal="center"/>
    </xf>
    <xf numFmtId="167" fontId="12" fillId="0" borderId="10" xfId="0" quotePrefix="1" applyNumberFormat="1" applyFont="1" applyFill="1" applyBorder="1" applyAlignment="1" applyProtection="1">
      <alignment horizontal="center"/>
    </xf>
    <xf numFmtId="167" fontId="12" fillId="2" borderId="10" xfId="0" applyNumberFormat="1" applyFont="1" applyFill="1" applyBorder="1" applyAlignment="1" applyProtection="1">
      <alignment horizont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 applyProtection="1">
      <alignment horizontal="center"/>
    </xf>
    <xf numFmtId="166" fontId="12" fillId="0" borderId="0" xfId="0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6" fontId="9" fillId="0" borderId="10" xfId="0" applyFont="1" applyBorder="1" applyAlignment="1">
      <alignment horizontal="center"/>
    </xf>
    <xf numFmtId="166" fontId="12" fillId="0" borderId="10" xfId="0" applyFont="1" applyBorder="1" applyAlignment="1">
      <alignment horizontal="center"/>
    </xf>
    <xf numFmtId="166" fontId="12" fillId="0" borderId="9" xfId="0" applyFont="1" applyBorder="1" applyAlignment="1">
      <alignment horizontal="center"/>
    </xf>
    <xf numFmtId="171" fontId="12" fillId="0" borderId="10" xfId="0" quotePrefix="1" applyNumberFormat="1" applyFont="1" applyFill="1" applyBorder="1" applyAlignment="1" applyProtection="1">
      <alignment horizontal="left"/>
    </xf>
    <xf numFmtId="166" fontId="13" fillId="5" borderId="10" xfId="0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6" fontId="8" fillId="0" borderId="0" xfId="0" applyFont="1" applyBorder="1" applyAlignment="1">
      <alignment horizontal="center" wrapText="1"/>
    </xf>
    <xf numFmtId="171" fontId="12" fillId="0" borderId="10" xfId="0" quotePrefix="1" applyNumberFormat="1" applyFont="1" applyFill="1" applyBorder="1" applyAlignment="1" applyProtection="1">
      <alignment horizontal="left" vertical="top"/>
    </xf>
    <xf numFmtId="166" fontId="17" fillId="0" borderId="0" xfId="0" applyFont="1" applyFill="1"/>
    <xf numFmtId="167" fontId="18" fillId="0" borderId="0" xfId="2" applyNumberFormat="1" applyFont="1" applyFill="1" applyAlignment="1" applyProtection="1">
      <alignment horizontal="right"/>
    </xf>
    <xf numFmtId="166" fontId="12" fillId="0" borderId="10" xfId="0" applyNumberFormat="1" applyFont="1" applyFill="1" applyBorder="1" applyAlignment="1" applyProtection="1">
      <alignment horizontal="center"/>
    </xf>
    <xf numFmtId="166" fontId="12" fillId="0" borderId="0" xfId="0" applyFont="1" applyFill="1" applyAlignment="1">
      <alignment horizontal="center"/>
    </xf>
    <xf numFmtId="166" fontId="9" fillId="0" borderId="1" xfId="0" applyFont="1" applyBorder="1" applyAlignment="1">
      <alignment horizontal="left"/>
    </xf>
    <xf numFmtId="166" fontId="9" fillId="0" borderId="2" xfId="0" applyFont="1" applyBorder="1" applyAlignment="1">
      <alignment horizontal="left"/>
    </xf>
    <xf numFmtId="166" fontId="9" fillId="0" borderId="3" xfId="0" applyFont="1" applyBorder="1" applyAlignment="1">
      <alignment horizontal="left"/>
    </xf>
    <xf numFmtId="166" fontId="1" fillId="0" borderId="0" xfId="0" applyFont="1" applyAlignment="1">
      <alignment horizontal="center"/>
    </xf>
    <xf numFmtId="166" fontId="13" fillId="5" borderId="11" xfId="0" applyFont="1" applyFill="1" applyBorder="1" applyAlignment="1">
      <alignment horizontal="center"/>
    </xf>
    <xf numFmtId="166" fontId="13" fillId="5" borderId="12" xfId="0" applyFont="1" applyFill="1" applyBorder="1" applyAlignment="1">
      <alignment horizontal="center"/>
    </xf>
    <xf numFmtId="166" fontId="13" fillId="5" borderId="13" xfId="0" applyFont="1" applyFill="1" applyBorder="1" applyAlignment="1">
      <alignment horizontal="center"/>
    </xf>
    <xf numFmtId="166" fontId="9" fillId="0" borderId="4" xfId="0" applyFont="1" applyBorder="1" applyAlignment="1">
      <alignment horizontal="left"/>
    </xf>
    <xf numFmtId="166" fontId="9" fillId="0" borderId="5" xfId="0" applyFont="1" applyBorder="1" applyAlignment="1">
      <alignment horizontal="left"/>
    </xf>
    <xf numFmtId="166" fontId="9" fillId="0" borderId="6" xfId="0" applyFont="1" applyBorder="1" applyAlignment="1">
      <alignment horizontal="left"/>
    </xf>
    <xf numFmtId="166" fontId="9" fillId="0" borderId="18" xfId="0" applyFont="1" applyBorder="1" applyAlignment="1">
      <alignment horizontal="left"/>
    </xf>
    <xf numFmtId="166" fontId="9" fillId="0" borderId="0" xfId="0" applyFont="1" applyBorder="1" applyAlignment="1">
      <alignment horizontal="left"/>
    </xf>
    <xf numFmtId="166" fontId="9" fillId="0" borderId="19" xfId="0" applyFont="1" applyBorder="1" applyAlignment="1">
      <alignment horizontal="left"/>
    </xf>
    <xf numFmtId="166" fontId="13" fillId="5" borderId="7" xfId="0" applyFont="1" applyFill="1" applyBorder="1" applyAlignment="1">
      <alignment horizontal="center" vertical="center"/>
    </xf>
    <xf numFmtId="166" fontId="13" fillId="5" borderId="9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 applyProtection="1">
      <alignment horizontal="center" vertical="center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6" xfId="0" applyNumberFormat="1" applyFont="1" applyFill="1" applyBorder="1" applyAlignment="1" applyProtection="1">
      <alignment horizontal="center"/>
    </xf>
    <xf numFmtId="165" fontId="13" fillId="5" borderId="1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165" fontId="13" fillId="5" borderId="3" xfId="0" applyNumberFormat="1" applyFont="1" applyFill="1" applyBorder="1" applyAlignment="1" applyProtection="1">
      <alignment horizontal="center"/>
    </xf>
    <xf numFmtId="166" fontId="13" fillId="5" borderId="15" xfId="0" applyFont="1" applyFill="1" applyBorder="1" applyAlignment="1">
      <alignment horizontal="center" vertical="center"/>
    </xf>
    <xf numFmtId="166" fontId="13" fillId="5" borderId="16" xfId="0" applyFont="1" applyFill="1" applyBorder="1" applyAlignment="1">
      <alignment horizontal="center" vertical="center"/>
    </xf>
    <xf numFmtId="166" fontId="13" fillId="5" borderId="17" xfId="0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opLeftCell="D5" workbookViewId="0">
      <selection activeCell="G7" sqref="G7"/>
    </sheetView>
  </sheetViews>
  <sheetFormatPr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44925</v>
      </c>
    </row>
    <row r="13" spans="2:5">
      <c r="B13" s="37" t="s">
        <v>17</v>
      </c>
      <c r="C13" s="14" t="s">
        <v>23</v>
      </c>
      <c r="D13" s="14" t="s">
        <v>17</v>
      </c>
      <c r="E13" s="16" t="s">
        <v>71</v>
      </c>
    </row>
    <row r="14" spans="2:5">
      <c r="B14" s="37" t="s">
        <v>18</v>
      </c>
      <c r="C14" s="14" t="s">
        <v>24</v>
      </c>
      <c r="D14" s="14" t="s">
        <v>18</v>
      </c>
      <c r="E14" s="15" t="s">
        <v>72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89"/>
  <sheetViews>
    <sheetView workbookViewId="0">
      <pane xSplit="1" ySplit="6" topLeftCell="T179" activePane="bottomRight" state="frozen"/>
      <selection pane="topRight" activeCell="B1" sqref="B1"/>
      <selection pane="bottomLeft" activeCell="A7" sqref="A7"/>
      <selection pane="bottomRight" activeCell="V182" sqref="V182"/>
    </sheetView>
  </sheetViews>
  <sheetFormatPr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5" t="s">
        <v>51</v>
      </c>
      <c r="G2" s="55"/>
      <c r="H2" s="55"/>
    </row>
    <row r="3" spans="1:22" ht="21" customHeight="1"/>
    <row r="4" spans="1:2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2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22" s="26" customFormat="1" ht="54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34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34" si="8">S71+O71</f>
        <v>1022027.2499333333</v>
      </c>
      <c r="U71" s="29">
        <f t="shared" ref="U71:U134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35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35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 t="shared" si="10"/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38" si="13">SUM(F127:K127)</f>
        <v>1437553.05</v>
      </c>
      <c r="M127" s="30">
        <v>273185</v>
      </c>
      <c r="N127" s="29">
        <v>53988.5</v>
      </c>
      <c r="O127" s="31">
        <f t="shared" si="7"/>
        <v>1110379.55</v>
      </c>
      <c r="P127" s="36">
        <v>25425.200000000001</v>
      </c>
      <c r="Q127" s="31">
        <v>861275.6</v>
      </c>
      <c r="R127" s="31">
        <v>4778.2</v>
      </c>
      <c r="S127" s="29">
        <f t="shared" si="11"/>
        <v>891478.99999999988</v>
      </c>
      <c r="T127" s="33">
        <f t="shared" si="8"/>
        <v>2001858.5499999998</v>
      </c>
      <c r="U127" s="29">
        <f t="shared" si="9"/>
        <v>1824350.0499999998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si="10"/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274672.40000000002</v>
      </c>
      <c r="N128" s="29">
        <v>54895.000000000007</v>
      </c>
      <c r="O128" s="31">
        <f t="shared" si="7"/>
        <v>1139109.7000000002</v>
      </c>
      <c r="P128" s="36">
        <v>17299.899999999998</v>
      </c>
      <c r="Q128" s="31">
        <v>893761.9</v>
      </c>
      <c r="R128" s="31">
        <v>4731.8</v>
      </c>
      <c r="S128" s="29">
        <f t="shared" si="11"/>
        <v>915793.60000000009</v>
      </c>
      <c r="T128" s="33">
        <f t="shared" si="8"/>
        <v>2054903.3000000003</v>
      </c>
      <c r="U128" s="29">
        <f t="shared" si="9"/>
        <v>1926633.9000000001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0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290474.59999999998</v>
      </c>
      <c r="N129" s="29">
        <v>56551.900000000009</v>
      </c>
      <c r="O129" s="31">
        <f t="shared" si="7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1"/>
        <v>908881.79999999993</v>
      </c>
      <c r="T129" s="33">
        <f t="shared" si="8"/>
        <v>2055107.1999999997</v>
      </c>
      <c r="U129" s="29">
        <f t="shared" si="9"/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0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289983.09999999998</v>
      </c>
      <c r="N130" s="29">
        <v>59990</v>
      </c>
      <c r="O130" s="31">
        <f t="shared" si="7"/>
        <v>1141852.0666666669</v>
      </c>
      <c r="P130" s="36">
        <v>14505.4</v>
      </c>
      <c r="Q130" s="31">
        <v>894409.2</v>
      </c>
      <c r="R130" s="31">
        <v>4964</v>
      </c>
      <c r="S130" s="29">
        <f t="shared" si="11"/>
        <v>913878.6</v>
      </c>
      <c r="T130" s="33">
        <f t="shared" si="8"/>
        <v>2055730.666666667</v>
      </c>
      <c r="U130" s="29">
        <f t="shared" si="9"/>
        <v>1898605.3666666669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0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293405.5</v>
      </c>
      <c r="N131" s="29">
        <v>59494.400000000001</v>
      </c>
      <c r="O131" s="31">
        <f t="shared" si="7"/>
        <v>1165982.9333333331</v>
      </c>
      <c r="P131" s="36">
        <v>14832.3</v>
      </c>
      <c r="Q131" s="31">
        <v>889153.7</v>
      </c>
      <c r="R131" s="31">
        <v>5359.7</v>
      </c>
      <c r="S131" s="29">
        <f t="shared" si="11"/>
        <v>909345.7</v>
      </c>
      <c r="T131" s="33">
        <f t="shared" si="8"/>
        <v>2075328.6333333331</v>
      </c>
      <c r="U131" s="29">
        <f t="shared" si="9"/>
        <v>1901146.533333333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0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</v>
      </c>
      <c r="N132" s="29">
        <v>53521.5</v>
      </c>
      <c r="O132" s="31">
        <f t="shared" si="7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1"/>
        <v>970380</v>
      </c>
      <c r="T132" s="33">
        <f t="shared" si="8"/>
        <v>2159954.2999999998</v>
      </c>
      <c r="U132" s="29">
        <f t="shared" si="9"/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0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349061.9</v>
      </c>
      <c r="N133" s="29">
        <v>47099.000000000007</v>
      </c>
      <c r="O133" s="31">
        <f t="shared" si="7"/>
        <v>1205891.8333333335</v>
      </c>
      <c r="P133" s="36">
        <v>27074.999999999996</v>
      </c>
      <c r="Q133" s="31">
        <v>975970.7</v>
      </c>
      <c r="R133" s="31">
        <v>5486.6</v>
      </c>
      <c r="S133" s="29">
        <f t="shared" si="11"/>
        <v>1008532.2999999999</v>
      </c>
      <c r="T133" s="33">
        <f t="shared" si="8"/>
        <v>2214424.1333333333</v>
      </c>
      <c r="U133" s="29">
        <f t="shared" si="9"/>
        <v>2014672.0333333332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0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340200.7</v>
      </c>
      <c r="N134" s="29">
        <v>61491.499999999993</v>
      </c>
      <c r="O134" s="31">
        <f t="shared" si="7"/>
        <v>1226849.7666666666</v>
      </c>
      <c r="P134" s="36">
        <v>36096.699999999997</v>
      </c>
      <c r="Q134" s="31">
        <v>976985.2</v>
      </c>
      <c r="R134" s="31">
        <v>5519.4</v>
      </c>
      <c r="S134" s="29">
        <f t="shared" si="11"/>
        <v>1018601.2999999999</v>
      </c>
      <c r="T134" s="33">
        <f t="shared" si="8"/>
        <v>2245451.0666666664</v>
      </c>
      <c r="U134" s="29">
        <f t="shared" si="9"/>
        <v>2036693.1666666665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0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353050.4</v>
      </c>
      <c r="N135" s="29">
        <v>67423.399999999994</v>
      </c>
      <c r="O135" s="31">
        <f t="shared" ref="O135:O138" si="14">L135-M135-N135</f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1"/>
        <v>1027560.8</v>
      </c>
      <c r="T135" s="33">
        <f t="shared" ref="T135:T138" si="15">S135+O135</f>
        <v>2265248.8000000007</v>
      </c>
      <c r="U135" s="29">
        <f t="shared" ref="U135:U138" si="16">T135+E135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ref="E136:E138" si="17">SUM(B136:D136)</f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358860.4</v>
      </c>
      <c r="N136" s="29">
        <v>71166.3</v>
      </c>
      <c r="O136" s="31">
        <f t="shared" si="14"/>
        <v>1273711.0333333334</v>
      </c>
      <c r="P136" s="36">
        <v>44255.700000000012</v>
      </c>
      <c r="Q136" s="31">
        <v>1011544.2</v>
      </c>
      <c r="R136" s="31">
        <v>5786.5</v>
      </c>
      <c r="S136" s="29">
        <f t="shared" ref="S136:S138" si="18">SUM(P136:R136)</f>
        <v>1061586.3999999999</v>
      </c>
      <c r="T136" s="33">
        <f t="shared" si="15"/>
        <v>2335297.4333333336</v>
      </c>
      <c r="U136" s="29">
        <f t="shared" si="16"/>
        <v>2123878.7333333334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7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349956.5</v>
      </c>
      <c r="N137" s="29">
        <v>64784.799999999996</v>
      </c>
      <c r="O137" s="31">
        <f t="shared" si="14"/>
        <v>1312347.9666666666</v>
      </c>
      <c r="P137" s="36">
        <v>42729.400000000009</v>
      </c>
      <c r="Q137" s="31">
        <v>1016711.4</v>
      </c>
      <c r="R137" s="31">
        <v>5665.9</v>
      </c>
      <c r="S137" s="29">
        <f t="shared" si="18"/>
        <v>1065106.7</v>
      </c>
      <c r="T137" s="33">
        <f t="shared" si="15"/>
        <v>2377454.6666666665</v>
      </c>
      <c r="U137" s="29">
        <f t="shared" si="16"/>
        <v>2182740.2666666666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si="17"/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983859.20000000019</v>
      </c>
      <c r="R138" s="31">
        <v>6028.8</v>
      </c>
      <c r="S138" s="29">
        <f t="shared" si="18"/>
        <v>1031951.6000000002</v>
      </c>
      <c r="T138" s="33">
        <f t="shared" si="15"/>
        <v>2369485.6</v>
      </c>
      <c r="U138" s="29">
        <f t="shared" si="16"/>
        <v>2166284.6</v>
      </c>
      <c r="V138" s="34"/>
    </row>
    <row r="139" spans="1:22" s="35" customFormat="1" ht="15.75">
      <c r="A139" s="47">
        <v>43466</v>
      </c>
      <c r="B139" s="30">
        <v>-182568.59999999998</v>
      </c>
      <c r="C139" s="30">
        <v>-55757.799999999988</v>
      </c>
      <c r="D139" s="30" t="s">
        <v>1</v>
      </c>
      <c r="E139" s="29">
        <f t="shared" ref="E139:E144" si="19">+SUM(B139:D139)</f>
        <v>-238326.39999999997</v>
      </c>
      <c r="F139" s="30">
        <v>174198.6</v>
      </c>
      <c r="G139" s="30">
        <v>986516.79999999993</v>
      </c>
      <c r="H139" s="30"/>
      <c r="I139" s="30">
        <v>57507.799999999996</v>
      </c>
      <c r="J139" s="30">
        <v>40405.800000000003</v>
      </c>
      <c r="K139" s="30">
        <v>521293.6</v>
      </c>
      <c r="L139" s="31">
        <f t="shared" ref="L139:L144" si="20">+SUM(F139:K139)</f>
        <v>1779922.6</v>
      </c>
      <c r="M139" s="30">
        <v>370633.2</v>
      </c>
      <c r="N139" s="29">
        <v>61052.1</v>
      </c>
      <c r="O139" s="31">
        <f t="shared" ref="O139:O173" si="21">+L139-M139-N139</f>
        <v>1348237.3</v>
      </c>
      <c r="P139" s="36">
        <v>36041.299999999996</v>
      </c>
      <c r="Q139" s="31">
        <v>977163.1</v>
      </c>
      <c r="R139" s="31">
        <v>6363.7</v>
      </c>
      <c r="S139" s="29">
        <f t="shared" ref="S139:S140" si="22">SUM(P139:R139)</f>
        <v>1019568.1</v>
      </c>
      <c r="T139" s="33">
        <f t="shared" ref="T139:T173" si="23">SUM(O139,S139)</f>
        <v>2367805.4</v>
      </c>
      <c r="U139" s="29">
        <f t="shared" ref="U139:U173" si="24">SUM(E139,T139)</f>
        <v>2129479</v>
      </c>
    </row>
    <row r="140" spans="1:22" s="35" customFormat="1" ht="15.75">
      <c r="A140" s="47">
        <v>43524</v>
      </c>
      <c r="B140" s="30">
        <v>-148014.80000000002</v>
      </c>
      <c r="C140" s="30">
        <v>-56830.499999999971</v>
      </c>
      <c r="D140" s="30" t="s">
        <v>1</v>
      </c>
      <c r="E140" s="29">
        <f t="shared" si="19"/>
        <v>-204845.3</v>
      </c>
      <c r="F140" s="30">
        <v>195688.4</v>
      </c>
      <c r="G140" s="30">
        <v>1016767.7000000001</v>
      </c>
      <c r="H140" s="30"/>
      <c r="I140" s="30">
        <v>55457.5</v>
      </c>
      <c r="J140" s="30">
        <v>39012.5</v>
      </c>
      <c r="K140" s="30">
        <v>520084.5</v>
      </c>
      <c r="L140" s="31">
        <f t="shared" si="20"/>
        <v>1827010.6</v>
      </c>
      <c r="M140" s="30">
        <v>368080.4</v>
      </c>
      <c r="N140" s="29">
        <v>64711.1</v>
      </c>
      <c r="O140" s="31">
        <f t="shared" si="21"/>
        <v>1394219.1</v>
      </c>
      <c r="P140" s="36">
        <v>34014.400000000001</v>
      </c>
      <c r="Q140" s="31">
        <v>991824.5</v>
      </c>
      <c r="R140" s="31">
        <v>6912.9</v>
      </c>
      <c r="S140" s="29">
        <f t="shared" si="22"/>
        <v>1032751.8</v>
      </c>
      <c r="T140" s="33">
        <f t="shared" si="23"/>
        <v>2426970.9000000004</v>
      </c>
      <c r="U140" s="29">
        <f t="shared" si="24"/>
        <v>2222125.6000000006</v>
      </c>
    </row>
    <row r="141" spans="1:22" s="35" customFormat="1" ht="15.75">
      <c r="A141" s="47">
        <v>43555</v>
      </c>
      <c r="B141" s="30">
        <v>-166782.39999999999</v>
      </c>
      <c r="C141" s="30">
        <v>-62620.70000000007</v>
      </c>
      <c r="D141" s="30" t="s">
        <v>1</v>
      </c>
      <c r="E141" s="29">
        <f t="shared" si="19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66134.8</v>
      </c>
      <c r="J141" s="30">
        <v>36225.9</v>
      </c>
      <c r="K141" s="30">
        <v>518306</v>
      </c>
      <c r="L141" s="31">
        <f t="shared" si="20"/>
        <v>1880056.4</v>
      </c>
      <c r="M141" s="30">
        <v>412450</v>
      </c>
      <c r="N141" s="29">
        <v>58269.8</v>
      </c>
      <c r="O141" s="31">
        <f t="shared" si="21"/>
        <v>1409336.5999999999</v>
      </c>
      <c r="P141" s="36">
        <v>32296.6</v>
      </c>
      <c r="Q141" s="31">
        <v>1008148.3000000002</v>
      </c>
      <c r="R141" s="31">
        <v>6662.7</v>
      </c>
      <c r="S141" s="29">
        <f t="shared" ref="S141" si="25">SUM(P141:R141)</f>
        <v>1047107.6000000001</v>
      </c>
      <c r="T141" s="33">
        <f t="shared" si="23"/>
        <v>2456444.2000000002</v>
      </c>
      <c r="U141" s="29">
        <f t="shared" si="24"/>
        <v>2227041.1</v>
      </c>
    </row>
    <row r="142" spans="1:22" s="35" customFormat="1" ht="15.75">
      <c r="A142" s="47">
        <v>43585</v>
      </c>
      <c r="B142" s="30">
        <f>138621.2-298492</f>
        <v>-159870.79999999999</v>
      </c>
      <c r="C142" s="30">
        <f>120674.2-197777.1</f>
        <v>-77102.900000000009</v>
      </c>
      <c r="D142" s="30" t="s">
        <v>1</v>
      </c>
      <c r="E142" s="29">
        <f t="shared" si="19"/>
        <v>-236973.7</v>
      </c>
      <c r="F142" s="30">
        <v>195994.1</v>
      </c>
      <c r="G142" s="30">
        <f>50233.1+1006432.8+19500</f>
        <v>1076165.9000000001</v>
      </c>
      <c r="H142" s="30"/>
      <c r="I142" s="30">
        <v>66482.8</v>
      </c>
      <c r="J142" s="30">
        <v>36225.9</v>
      </c>
      <c r="K142" s="30">
        <v>517334.5</v>
      </c>
      <c r="L142" s="31">
        <f t="shared" si="20"/>
        <v>1892203.2000000002</v>
      </c>
      <c r="M142" s="30">
        <v>390323.7</v>
      </c>
      <c r="N142" s="29">
        <v>56955.6</v>
      </c>
      <c r="O142" s="31">
        <f t="shared" si="21"/>
        <v>1444923.9000000001</v>
      </c>
      <c r="P142" s="36">
        <v>33330.999999999993</v>
      </c>
      <c r="Q142" s="31">
        <v>1004160.3</v>
      </c>
      <c r="R142" s="31">
        <v>6674.3</v>
      </c>
      <c r="S142" s="29">
        <f t="shared" ref="S142" si="26">SUM(P142:R142)</f>
        <v>1044165.6000000001</v>
      </c>
      <c r="T142" s="33">
        <f t="shared" si="23"/>
        <v>2489089.5</v>
      </c>
      <c r="U142" s="29">
        <f t="shared" si="24"/>
        <v>2252115.7999999998</v>
      </c>
    </row>
    <row r="143" spans="1:22" s="35" customFormat="1" ht="15.75">
      <c r="A143" s="47">
        <v>43616</v>
      </c>
      <c r="B143" s="30">
        <f>188353.4-322255.6</f>
        <v>-133902.19999999998</v>
      </c>
      <c r="C143" s="30">
        <f>142300.4-198646.2</f>
        <v>-56345.800000000017</v>
      </c>
      <c r="D143" s="30" t="s">
        <v>1</v>
      </c>
      <c r="E143" s="29">
        <f t="shared" si="19"/>
        <v>-190248</v>
      </c>
      <c r="F143" s="30">
        <v>191866.3</v>
      </c>
      <c r="G143" s="30">
        <f>45273+1055617.8+16915</f>
        <v>1117805.8</v>
      </c>
      <c r="H143" s="30"/>
      <c r="I143" s="30">
        <v>59356.399999999994</v>
      </c>
      <c r="J143" s="30">
        <v>34832.6</v>
      </c>
      <c r="K143" s="30">
        <v>515247.9</v>
      </c>
      <c r="L143" s="31">
        <f t="shared" si="20"/>
        <v>1919109</v>
      </c>
      <c r="M143" s="30">
        <v>428305.4</v>
      </c>
      <c r="N143" s="29">
        <v>67301.8</v>
      </c>
      <c r="O143" s="31">
        <f t="shared" si="21"/>
        <v>1423501.8</v>
      </c>
      <c r="P143" s="36">
        <f>28149+101.6</f>
        <v>28250.6</v>
      </c>
      <c r="Q143" s="31">
        <v>1036819.9</v>
      </c>
      <c r="R143" s="31">
        <v>6967</v>
      </c>
      <c r="S143" s="29">
        <f t="shared" ref="S143:S173" si="27">SUM(P143:R143)</f>
        <v>1072037.5</v>
      </c>
      <c r="T143" s="33">
        <f t="shared" si="23"/>
        <v>2495539.2999999998</v>
      </c>
      <c r="U143" s="29">
        <f t="shared" si="24"/>
        <v>2305291.2999999998</v>
      </c>
    </row>
    <row r="144" spans="1:22" s="35" customFormat="1" ht="15.75">
      <c r="A144" s="47">
        <v>43646</v>
      </c>
      <c r="B144" s="30">
        <f>177153.1-298866.2</f>
        <v>-121713.1</v>
      </c>
      <c r="C144" s="30">
        <f>127120.2-199660</f>
        <v>-72539.8</v>
      </c>
      <c r="D144" s="30" t="s">
        <v>1</v>
      </c>
      <c r="E144" s="29">
        <f t="shared" si="19"/>
        <v>-194252.90000000002</v>
      </c>
      <c r="F144" s="30">
        <v>216009.2</v>
      </c>
      <c r="G144" s="30">
        <f>42174.9+1084518.3+16965</f>
        <v>1143658.2</v>
      </c>
      <c r="H144" s="30"/>
      <c r="I144" s="30">
        <v>59215</v>
      </c>
      <c r="J144" s="30">
        <v>32046</v>
      </c>
      <c r="K144" s="30">
        <v>514038.8</v>
      </c>
      <c r="L144" s="31">
        <f t="shared" si="20"/>
        <v>1964967.2</v>
      </c>
      <c r="M144" s="30">
        <v>427944.6</v>
      </c>
      <c r="N144" s="29">
        <v>62402.2</v>
      </c>
      <c r="O144" s="31">
        <f t="shared" si="21"/>
        <v>1474620.4000000001</v>
      </c>
      <c r="P144" s="36">
        <f>23367.3+101.6</f>
        <v>23468.899999999998</v>
      </c>
      <c r="Q144" s="31">
        <v>1073690.6000000001</v>
      </c>
      <c r="R144" s="31">
        <v>6546.1</v>
      </c>
      <c r="S144" s="29">
        <f t="shared" si="27"/>
        <v>1103705.6000000001</v>
      </c>
      <c r="T144" s="33">
        <f t="shared" si="23"/>
        <v>2578326</v>
      </c>
      <c r="U144" s="29">
        <f t="shared" si="24"/>
        <v>2384073.1</v>
      </c>
    </row>
    <row r="145" spans="1:21" s="35" customFormat="1" ht="15.75">
      <c r="A145" s="47">
        <v>43677</v>
      </c>
      <c r="B145" s="30">
        <f>166708.8-300474.7</f>
        <v>-133765.90000000002</v>
      </c>
      <c r="C145" s="30">
        <f>130910.8-231174</f>
        <v>-100263.2</v>
      </c>
      <c r="D145" s="30" t="s">
        <v>1</v>
      </c>
      <c r="E145" s="29">
        <f t="shared" ref="E145:E156" si="28">+SUM(B145:D145)</f>
        <v>-234029.10000000003</v>
      </c>
      <c r="F145" s="30">
        <v>158917.5</v>
      </c>
      <c r="G145" s="30">
        <f>43953+1112283.8+13837</f>
        <v>1170073.8</v>
      </c>
      <c r="H145" s="30"/>
      <c r="I145" s="30">
        <v>55134.399999999994</v>
      </c>
      <c r="J145" s="30">
        <v>30652.7</v>
      </c>
      <c r="K145" s="30">
        <v>512829.7</v>
      </c>
      <c r="L145" s="31">
        <f t="shared" ref="L145:L156" si="29">+SUM(F145:K145)</f>
        <v>1927608.0999999999</v>
      </c>
      <c r="M145" s="30">
        <v>385962.8</v>
      </c>
      <c r="N145" s="29">
        <v>69016.7</v>
      </c>
      <c r="O145" s="31">
        <f t="shared" si="21"/>
        <v>1472628.5999999999</v>
      </c>
      <c r="P145" s="36">
        <f>19521.9+101.6</f>
        <v>19623.5</v>
      </c>
      <c r="Q145" s="31">
        <v>1117284.0333333332</v>
      </c>
      <c r="R145" s="31">
        <v>6695.5999999999995</v>
      </c>
      <c r="S145" s="29">
        <f t="shared" si="27"/>
        <v>1143603.1333333333</v>
      </c>
      <c r="T145" s="33">
        <f t="shared" si="23"/>
        <v>2616231.7333333334</v>
      </c>
      <c r="U145" s="29">
        <f t="shared" si="24"/>
        <v>2382202.6333333333</v>
      </c>
    </row>
    <row r="146" spans="1:21" s="35" customFormat="1" ht="15.75">
      <c r="A146" s="47">
        <v>43708</v>
      </c>
      <c r="B146" s="30">
        <f>143964.8-295856.6</f>
        <v>-151891.79999999999</v>
      </c>
      <c r="C146" s="30">
        <f>131114.5-221742.4</f>
        <v>-90627.9</v>
      </c>
      <c r="D146" s="30" t="s">
        <v>1</v>
      </c>
      <c r="E146" s="29">
        <f t="shared" si="28"/>
        <v>-242519.69999999998</v>
      </c>
      <c r="F146" s="30">
        <v>0</v>
      </c>
      <c r="G146" s="30">
        <f>44613+1152737.1+15106</f>
        <v>1212456.1000000001</v>
      </c>
      <c r="H146" s="30"/>
      <c r="I146" s="30">
        <v>59369.600000000006</v>
      </c>
      <c r="J146" s="30">
        <v>30652.7</v>
      </c>
      <c r="K146" s="30">
        <v>728838.8</v>
      </c>
      <c r="L146" s="31">
        <f t="shared" si="29"/>
        <v>2031317.2000000002</v>
      </c>
      <c r="M146" s="30">
        <v>467552.1</v>
      </c>
      <c r="N146" s="29">
        <v>76766.3</v>
      </c>
      <c r="O146" s="31">
        <f t="shared" si="21"/>
        <v>1486998.8</v>
      </c>
      <c r="P146" s="36">
        <f>19534+101.6</f>
        <v>19635.599999999999</v>
      </c>
      <c r="Q146" s="31">
        <v>1127544.6666666665</v>
      </c>
      <c r="R146" s="31">
        <v>6755.2</v>
      </c>
      <c r="S146" s="29">
        <f t="shared" si="27"/>
        <v>1153935.4666666666</v>
      </c>
      <c r="T146" s="33">
        <f t="shared" si="23"/>
        <v>2640934.2666666666</v>
      </c>
      <c r="U146" s="29">
        <f t="shared" si="24"/>
        <v>2398414.5666666664</v>
      </c>
    </row>
    <row r="147" spans="1:21" s="35" customFormat="1" ht="15.75">
      <c r="A147" s="47">
        <v>43738</v>
      </c>
      <c r="B147" s="30">
        <f>152229.3-295964.1</f>
        <v>-143734.79999999999</v>
      </c>
      <c r="C147" s="30">
        <f>139248.5-223096</f>
        <v>-83847.5</v>
      </c>
      <c r="D147" s="30" t="s">
        <v>1</v>
      </c>
      <c r="E147" s="29">
        <f t="shared" si="28"/>
        <v>-227582.3</v>
      </c>
      <c r="F147" s="30">
        <v>0</v>
      </c>
      <c r="G147" s="30">
        <f>52783.1+1160384.5+28225</f>
        <v>1241392.6000000001</v>
      </c>
      <c r="H147" s="30"/>
      <c r="I147" s="30">
        <v>65322.7</v>
      </c>
      <c r="J147" s="30">
        <v>29259.4</v>
      </c>
      <c r="K147" s="30">
        <v>727629.7</v>
      </c>
      <c r="L147" s="31">
        <f t="shared" si="29"/>
        <v>2063604.4</v>
      </c>
      <c r="M147" s="30">
        <v>478795.5</v>
      </c>
      <c r="N147" s="29">
        <v>82107.899999999994</v>
      </c>
      <c r="O147" s="31">
        <f t="shared" si="21"/>
        <v>1502701</v>
      </c>
      <c r="P147" s="36">
        <f>25516+101.6</f>
        <v>25617.599999999999</v>
      </c>
      <c r="Q147" s="31">
        <f>1098721+4652.3+44030.8</f>
        <v>1147404.1000000001</v>
      </c>
      <c r="R147" s="31">
        <v>6686.4</v>
      </c>
      <c r="S147" s="29">
        <f t="shared" si="27"/>
        <v>1179708.1000000001</v>
      </c>
      <c r="T147" s="33">
        <f t="shared" si="23"/>
        <v>2682409.1</v>
      </c>
      <c r="U147" s="29">
        <f t="shared" si="24"/>
        <v>2454826.8000000003</v>
      </c>
    </row>
    <row r="148" spans="1:21" s="35" customFormat="1" ht="15.75">
      <c r="A148" s="47">
        <v>43769</v>
      </c>
      <c r="B148" s="30">
        <f>139379.6-293793.8</f>
        <v>-154414.19999999998</v>
      </c>
      <c r="C148" s="30">
        <f>134768.5-216587.2</f>
        <v>-81818.700000000012</v>
      </c>
      <c r="D148" s="30" t="s">
        <v>1</v>
      </c>
      <c r="E148" s="29">
        <f t="shared" si="28"/>
        <v>-236232.9</v>
      </c>
      <c r="F148" s="30">
        <v>0</v>
      </c>
      <c r="G148" s="30">
        <f>53363+1194779.6+32675</f>
        <v>1280817.6000000001</v>
      </c>
      <c r="H148" s="30"/>
      <c r="I148" s="30">
        <v>76553.5</v>
      </c>
      <c r="J148" s="30">
        <v>26472.7</v>
      </c>
      <c r="K148" s="30">
        <v>725211.5</v>
      </c>
      <c r="L148" s="31">
        <f t="shared" si="29"/>
        <v>2109055.2999999998</v>
      </c>
      <c r="M148" s="30">
        <v>498832</v>
      </c>
      <c r="N148" s="29">
        <v>93562</v>
      </c>
      <c r="O148" s="31">
        <f t="shared" si="21"/>
        <v>1516661.2999999998</v>
      </c>
      <c r="P148" s="36">
        <f>25102.5+101.6</f>
        <v>25204.1</v>
      </c>
      <c r="Q148" s="31">
        <v>1169942.3999999999</v>
      </c>
      <c r="R148" s="31">
        <v>547.9</v>
      </c>
      <c r="S148" s="29">
        <f t="shared" si="27"/>
        <v>1195694.3999999999</v>
      </c>
      <c r="T148" s="33">
        <f t="shared" si="23"/>
        <v>2712355.6999999997</v>
      </c>
      <c r="U148" s="29">
        <f t="shared" si="24"/>
        <v>2476122.7999999998</v>
      </c>
    </row>
    <row r="149" spans="1:21" s="35" customFormat="1" ht="15.75">
      <c r="A149" s="47">
        <v>43799</v>
      </c>
      <c r="B149" s="30">
        <f>126892.2-290211.4</f>
        <v>-163319.20000000001</v>
      </c>
      <c r="C149" s="30">
        <f>127575.1-218706.9</f>
        <v>-91131.799999999988</v>
      </c>
      <c r="D149" s="30" t="s">
        <v>1</v>
      </c>
      <c r="E149" s="29">
        <f t="shared" si="28"/>
        <v>-254451</v>
      </c>
      <c r="F149" s="30">
        <v>0</v>
      </c>
      <c r="G149" s="30">
        <v>1313894.1000000001</v>
      </c>
      <c r="H149" s="30"/>
      <c r="I149" s="30">
        <v>74319.900000000009</v>
      </c>
      <c r="J149" s="30">
        <v>25079.5</v>
      </c>
      <c r="K149" s="30">
        <v>724002.3</v>
      </c>
      <c r="L149" s="31">
        <f t="shared" si="29"/>
        <v>2137295.7999999998</v>
      </c>
      <c r="M149" s="30">
        <v>490631.8</v>
      </c>
      <c r="N149" s="29">
        <v>94982.5</v>
      </c>
      <c r="O149" s="31">
        <f t="shared" si="21"/>
        <v>1551681.4999999998</v>
      </c>
      <c r="P149" s="36">
        <f>25813.2+101.6</f>
        <v>25914.799999999999</v>
      </c>
      <c r="Q149" s="31">
        <v>1198880.2</v>
      </c>
      <c r="R149" s="31">
        <v>496</v>
      </c>
      <c r="S149" s="29">
        <f t="shared" si="27"/>
        <v>1225291</v>
      </c>
      <c r="T149" s="33">
        <f t="shared" si="23"/>
        <v>2776972.5</v>
      </c>
      <c r="U149" s="29">
        <f t="shared" si="24"/>
        <v>2522521.5</v>
      </c>
    </row>
    <row r="150" spans="1:21" s="35" customFormat="1" ht="15.75">
      <c r="A150" s="47">
        <v>43830</v>
      </c>
      <c r="B150" s="30">
        <v>-129390.7</v>
      </c>
      <c r="C150" s="30">
        <v>-76949.600000000006</v>
      </c>
      <c r="D150" s="30" t="s">
        <v>1</v>
      </c>
      <c r="E150" s="29">
        <f t="shared" si="28"/>
        <v>-206340.3</v>
      </c>
      <c r="F150" s="30">
        <v>0</v>
      </c>
      <c r="G150" s="30">
        <v>1341367.1000000001</v>
      </c>
      <c r="H150" s="30"/>
      <c r="I150" s="30">
        <v>70919.799999999988</v>
      </c>
      <c r="J150" s="30">
        <v>23686.2</v>
      </c>
      <c r="K150" s="30">
        <v>722793.2</v>
      </c>
      <c r="L150" s="31">
        <f t="shared" si="29"/>
        <v>2158766.2999999998</v>
      </c>
      <c r="M150" s="30">
        <v>443910.5</v>
      </c>
      <c r="N150" s="29">
        <v>95938.2</v>
      </c>
      <c r="O150" s="31">
        <f t="shared" si="21"/>
        <v>1618917.5999999999</v>
      </c>
      <c r="P150" s="36">
        <f>42076.6+101.6</f>
        <v>42178.2</v>
      </c>
      <c r="Q150" s="31">
        <v>1166031.0000000002</v>
      </c>
      <c r="R150" s="31">
        <v>458.5</v>
      </c>
      <c r="S150" s="29">
        <f t="shared" si="27"/>
        <v>1208667.7000000002</v>
      </c>
      <c r="T150" s="33">
        <f t="shared" si="23"/>
        <v>2827585.3</v>
      </c>
      <c r="U150" s="29">
        <f t="shared" si="24"/>
        <v>2621245</v>
      </c>
    </row>
    <row r="151" spans="1:21" s="35" customFormat="1" ht="15.75">
      <c r="A151" s="47">
        <v>43861</v>
      </c>
      <c r="B151" s="30">
        <v>-173480.90000000002</v>
      </c>
      <c r="C151" s="30">
        <f>137465.3-279253.2</f>
        <v>-141787.90000000002</v>
      </c>
      <c r="D151" s="30" t="s">
        <v>1</v>
      </c>
      <c r="E151" s="29">
        <f t="shared" si="28"/>
        <v>-315268.80000000005</v>
      </c>
      <c r="F151" s="30">
        <v>0</v>
      </c>
      <c r="G151" s="30">
        <v>1378830.3</v>
      </c>
      <c r="H151" s="30"/>
      <c r="I151" s="30">
        <f>18559.5+102288.1</f>
        <v>120847.6</v>
      </c>
      <c r="J151" s="30">
        <v>23686.1</v>
      </c>
      <c r="K151" s="30">
        <v>722793.2</v>
      </c>
      <c r="L151" s="31">
        <f t="shared" si="29"/>
        <v>2246157.2000000002</v>
      </c>
      <c r="M151" s="30">
        <v>447113.3</v>
      </c>
      <c r="N151" s="29">
        <v>97728.6</v>
      </c>
      <c r="O151" s="31">
        <f t="shared" si="21"/>
        <v>1701315.3</v>
      </c>
      <c r="P151" s="36">
        <f>37419.8+101.6</f>
        <v>37521.4</v>
      </c>
      <c r="Q151" s="31">
        <v>1196183.8666666667</v>
      </c>
      <c r="R151" s="31">
        <v>370.8</v>
      </c>
      <c r="S151" s="29">
        <f t="shared" si="27"/>
        <v>1234076.0666666667</v>
      </c>
      <c r="T151" s="33">
        <f t="shared" si="23"/>
        <v>2935391.3666666667</v>
      </c>
      <c r="U151" s="29">
        <f t="shared" si="24"/>
        <v>2620122.5666666664</v>
      </c>
    </row>
    <row r="152" spans="1:21" s="35" customFormat="1" ht="15.75">
      <c r="A152" s="47">
        <v>43890</v>
      </c>
      <c r="B152" s="30">
        <f>231895.4-363145.9</f>
        <v>-131250.50000000003</v>
      </c>
      <c r="C152" s="30">
        <f>154904-268234.5</f>
        <v>-113330.5</v>
      </c>
      <c r="D152" s="30" t="s">
        <v>1</v>
      </c>
      <c r="E152" s="29">
        <f t="shared" si="28"/>
        <v>-244581.00000000003</v>
      </c>
      <c r="F152" s="30">
        <v>0</v>
      </c>
      <c r="G152" s="30">
        <v>1386787.3</v>
      </c>
      <c r="H152" s="30"/>
      <c r="I152" s="30">
        <f>18771.6+102880.8</f>
        <v>121652.4</v>
      </c>
      <c r="J152" s="30">
        <v>22292.799999999999</v>
      </c>
      <c r="K152" s="30">
        <v>721584.1</v>
      </c>
      <c r="L152" s="31">
        <f t="shared" si="29"/>
        <v>2252316.6</v>
      </c>
      <c r="M152" s="30">
        <v>456925.6</v>
      </c>
      <c r="N152" s="29">
        <v>96011.1</v>
      </c>
      <c r="O152" s="31">
        <f t="shared" si="21"/>
        <v>1699379.9</v>
      </c>
      <c r="P152" s="36">
        <f>34652.5+101.6</f>
        <v>34754.1</v>
      </c>
      <c r="Q152" s="31">
        <v>1185120.5333333332</v>
      </c>
      <c r="R152" s="31">
        <v>327</v>
      </c>
      <c r="S152" s="29">
        <f t="shared" si="27"/>
        <v>1220201.6333333333</v>
      </c>
      <c r="T152" s="33">
        <f t="shared" si="23"/>
        <v>2919581.5333333332</v>
      </c>
      <c r="U152" s="29">
        <f t="shared" si="24"/>
        <v>2675000.5333333332</v>
      </c>
    </row>
    <row r="153" spans="1:21" s="35" customFormat="1" ht="15.75">
      <c r="A153" s="47">
        <v>43921</v>
      </c>
      <c r="B153" s="30">
        <f>194289.3-361308.8</f>
        <v>-167019.5</v>
      </c>
      <c r="C153" s="30">
        <f>143352.6-261170.6</f>
        <v>-117818</v>
      </c>
      <c r="D153" s="30" t="s">
        <v>1</v>
      </c>
      <c r="E153" s="29">
        <f t="shared" si="28"/>
        <v>-284837.5</v>
      </c>
      <c r="F153" s="30">
        <v>0</v>
      </c>
      <c r="G153" s="30">
        <v>1381408.1999999997</v>
      </c>
      <c r="H153" s="30"/>
      <c r="I153" s="30">
        <f>20393+103560.4</f>
        <v>123953.4</v>
      </c>
      <c r="J153" s="30">
        <v>19506.2</v>
      </c>
      <c r="K153" s="30">
        <v>719165.8</v>
      </c>
      <c r="L153" s="31">
        <f t="shared" si="29"/>
        <v>2244033.5999999996</v>
      </c>
      <c r="M153" s="30">
        <v>503862</v>
      </c>
      <c r="N153" s="29">
        <v>77027.199999999997</v>
      </c>
      <c r="O153" s="31">
        <f t="shared" si="21"/>
        <v>1663144.3999999997</v>
      </c>
      <c r="P153" s="36">
        <f>32138.3+101.6</f>
        <v>32239.899999999998</v>
      </c>
      <c r="Q153" s="31">
        <v>1212703.5999999999</v>
      </c>
      <c r="R153" s="31">
        <v>342.2</v>
      </c>
      <c r="S153" s="29">
        <f t="shared" si="27"/>
        <v>1245285.6999999997</v>
      </c>
      <c r="T153" s="33">
        <f t="shared" si="23"/>
        <v>2908430.0999999996</v>
      </c>
      <c r="U153" s="29">
        <f t="shared" si="24"/>
        <v>2623592.5999999996</v>
      </c>
    </row>
    <row r="154" spans="1:21" s="35" customFormat="1" ht="15.75">
      <c r="A154" s="47">
        <v>43951</v>
      </c>
      <c r="B154" s="30">
        <f>182570.8-361783</f>
        <v>-179212.2</v>
      </c>
      <c r="C154" s="30">
        <f>139173-266161.9</f>
        <v>-126988.90000000002</v>
      </c>
      <c r="D154" s="30" t="s">
        <v>1</v>
      </c>
      <c r="E154" s="29">
        <f t="shared" si="28"/>
        <v>-306201.10000000003</v>
      </c>
      <c r="F154" s="30">
        <v>0</v>
      </c>
      <c r="G154" s="30">
        <v>1385180.4000000001</v>
      </c>
      <c r="H154" s="30"/>
      <c r="I154" s="30">
        <f>16512.8+104228.7</f>
        <v>120741.5</v>
      </c>
      <c r="J154" s="30">
        <v>18112.900000000001</v>
      </c>
      <c r="K154" s="30">
        <v>717956.7</v>
      </c>
      <c r="L154" s="31">
        <f t="shared" si="29"/>
        <v>2241991.5</v>
      </c>
      <c r="M154" s="30">
        <v>464273.2</v>
      </c>
      <c r="N154" s="29">
        <v>73644.3</v>
      </c>
      <c r="O154" s="31">
        <f t="shared" si="21"/>
        <v>1704074</v>
      </c>
      <c r="P154" s="36">
        <f>33552.3+101.6</f>
        <v>33653.9</v>
      </c>
      <c r="Q154" s="31">
        <v>1214945.9000000001</v>
      </c>
      <c r="R154" s="31">
        <v>357.29999999999995</v>
      </c>
      <c r="S154" s="29">
        <f t="shared" si="27"/>
        <v>1248957.1000000001</v>
      </c>
      <c r="T154" s="33">
        <f t="shared" si="23"/>
        <v>2953031.1</v>
      </c>
      <c r="U154" s="29">
        <f t="shared" si="24"/>
        <v>2646830</v>
      </c>
    </row>
    <row r="155" spans="1:21" s="35" customFormat="1" ht="15.75">
      <c r="A155" s="47">
        <v>43982</v>
      </c>
      <c r="B155" s="30">
        <f>172039.8-357937.1</f>
        <v>-185897.3</v>
      </c>
      <c r="C155" s="30">
        <f>130855.2-285542.3</f>
        <v>-154687.09999999998</v>
      </c>
      <c r="D155" s="30" t="s">
        <v>1</v>
      </c>
      <c r="E155" s="29">
        <f t="shared" si="28"/>
        <v>-340584.39999999997</v>
      </c>
      <c r="F155" s="30">
        <v>0</v>
      </c>
      <c r="G155" s="30">
        <v>1411011.9000000004</v>
      </c>
      <c r="H155" s="30"/>
      <c r="I155" s="30">
        <f>15846.7+97709.7+1852.2</f>
        <v>115408.59999999999</v>
      </c>
      <c r="J155" s="30">
        <v>18112.900000000001</v>
      </c>
      <c r="K155" s="30">
        <v>717956.7</v>
      </c>
      <c r="L155" s="31">
        <f t="shared" si="29"/>
        <v>2262490.1000000006</v>
      </c>
      <c r="M155" s="30">
        <v>499649.2</v>
      </c>
      <c r="N155" s="29">
        <v>75206.899999999994</v>
      </c>
      <c r="O155" s="31">
        <f t="shared" si="21"/>
        <v>1687634.0000000007</v>
      </c>
      <c r="P155" s="36">
        <f>30459.2+101.6</f>
        <v>30560.799999999999</v>
      </c>
      <c r="Q155" s="31">
        <v>1282984.5000000002</v>
      </c>
      <c r="R155" s="31">
        <v>552.5</v>
      </c>
      <c r="S155" s="29">
        <f t="shared" si="27"/>
        <v>1314097.8000000003</v>
      </c>
      <c r="T155" s="33">
        <f t="shared" si="23"/>
        <v>3001731.8000000007</v>
      </c>
      <c r="U155" s="29">
        <f t="shared" si="24"/>
        <v>2661147.4000000008</v>
      </c>
    </row>
    <row r="156" spans="1:21" s="35" customFormat="1" ht="15.75">
      <c r="A156" s="47">
        <v>44012</v>
      </c>
      <c r="B156" s="30">
        <f>172739-357357.6</f>
        <v>-184618.59999999998</v>
      </c>
      <c r="C156" s="30">
        <f>128564.4-277077.4</f>
        <v>-148513.00000000003</v>
      </c>
      <c r="D156" s="30" t="s">
        <v>1</v>
      </c>
      <c r="E156" s="29">
        <f t="shared" si="28"/>
        <v>-333131.59999999998</v>
      </c>
      <c r="F156" s="30">
        <v>0</v>
      </c>
      <c r="G156" s="30">
        <v>1468858.5</v>
      </c>
      <c r="H156" s="30"/>
      <c r="I156" s="30">
        <f>16243.7+98487+5357.5</f>
        <v>120088.2</v>
      </c>
      <c r="J156" s="30">
        <v>15326.3</v>
      </c>
      <c r="K156" s="30">
        <v>715538.4</v>
      </c>
      <c r="L156" s="31">
        <f t="shared" si="29"/>
        <v>2319811.4</v>
      </c>
      <c r="M156" s="30">
        <v>441278.2</v>
      </c>
      <c r="N156" s="29">
        <v>86594.1</v>
      </c>
      <c r="O156" s="31">
        <f t="shared" si="21"/>
        <v>1791939.0999999999</v>
      </c>
      <c r="P156" s="36">
        <f>29576.4+101.6</f>
        <v>29678</v>
      </c>
      <c r="Q156" s="31">
        <v>1283209.7000000002</v>
      </c>
      <c r="R156" s="31">
        <v>328.2</v>
      </c>
      <c r="S156" s="29">
        <f t="shared" si="27"/>
        <v>1313215.9000000001</v>
      </c>
      <c r="T156" s="33">
        <f t="shared" si="23"/>
        <v>3105155</v>
      </c>
      <c r="U156" s="29">
        <f t="shared" si="24"/>
        <v>2772023.4</v>
      </c>
    </row>
    <row r="157" spans="1:21" s="35" customFormat="1" ht="15.75">
      <c r="A157" s="47">
        <v>44043</v>
      </c>
      <c r="B157" s="30">
        <v>-149908.6</v>
      </c>
      <c r="C157" s="30">
        <f>131329.1-279283.7</f>
        <v>-147954.6</v>
      </c>
      <c r="D157" s="30" t="s">
        <v>1</v>
      </c>
      <c r="E157" s="29">
        <f t="shared" ref="E157:E167" si="30">+SUM(B157:D157)</f>
        <v>-297863.2</v>
      </c>
      <c r="F157" s="30">
        <v>0</v>
      </c>
      <c r="G157" s="30">
        <v>1499652.7000000002</v>
      </c>
      <c r="H157" s="30"/>
      <c r="I157" s="30">
        <f>21529.8+97665+9362.2</f>
        <v>128557</v>
      </c>
      <c r="J157" s="30">
        <v>13933</v>
      </c>
      <c r="K157" s="30">
        <v>714329.3</v>
      </c>
      <c r="L157" s="31">
        <f t="shared" ref="L157:L167" si="31">+SUM(F157:K157)</f>
        <v>2356472</v>
      </c>
      <c r="M157" s="30">
        <v>505064.03333333298</v>
      </c>
      <c r="N157" s="29">
        <v>87632.4</v>
      </c>
      <c r="O157" s="31">
        <f t="shared" si="21"/>
        <v>1763775.5666666671</v>
      </c>
      <c r="P157" s="36">
        <f>27282+101.6</f>
        <v>27383.599999999999</v>
      </c>
      <c r="Q157" s="31">
        <v>1345297.1666666667</v>
      </c>
      <c r="R157" s="31">
        <v>226.5</v>
      </c>
      <c r="S157" s="29">
        <f t="shared" si="27"/>
        <v>1372907.2666666668</v>
      </c>
      <c r="T157" s="33">
        <f t="shared" si="23"/>
        <v>3136682.833333334</v>
      </c>
      <c r="U157" s="29">
        <f t="shared" si="24"/>
        <v>2838819.6333333338</v>
      </c>
    </row>
    <row r="158" spans="1:21" s="35" customFormat="1" ht="15.75">
      <c r="A158" s="47">
        <v>44074</v>
      </c>
      <c r="B158" s="30">
        <v>-138097.49999999997</v>
      </c>
      <c r="C158" s="30">
        <f>142771.3-263229.3</f>
        <v>-120458</v>
      </c>
      <c r="D158" s="30" t="s">
        <v>1</v>
      </c>
      <c r="E158" s="29">
        <f t="shared" si="30"/>
        <v>-258555.49999999997</v>
      </c>
      <c r="F158" s="30">
        <v>0</v>
      </c>
      <c r="G158" s="30">
        <v>1520939.2</v>
      </c>
      <c r="H158" s="30"/>
      <c r="I158" s="30">
        <f>13546.8+98547.5+23833.1</f>
        <v>135927.4</v>
      </c>
      <c r="J158" s="30">
        <v>13933</v>
      </c>
      <c r="K158" s="30">
        <v>713689.4</v>
      </c>
      <c r="L158" s="31">
        <f t="shared" si="31"/>
        <v>2384489</v>
      </c>
      <c r="M158" s="30">
        <v>552860.86666666705</v>
      </c>
      <c r="N158" s="29">
        <v>88159.1</v>
      </c>
      <c r="O158" s="31">
        <f t="shared" si="21"/>
        <v>1743469.0333333327</v>
      </c>
      <c r="P158" s="36">
        <v>27779.7</v>
      </c>
      <c r="Q158" s="31">
        <v>1379773.4333333333</v>
      </c>
      <c r="R158" s="31">
        <v>305.60000000000002</v>
      </c>
      <c r="S158" s="29">
        <f t="shared" si="27"/>
        <v>1407858.7333333334</v>
      </c>
      <c r="T158" s="33">
        <f t="shared" si="23"/>
        <v>3151327.7666666661</v>
      </c>
      <c r="U158" s="29">
        <f t="shared" si="24"/>
        <v>2892772.2666666661</v>
      </c>
    </row>
    <row r="159" spans="1:21" s="35" customFormat="1" ht="15.75">
      <c r="A159" s="47">
        <v>44104</v>
      </c>
      <c r="B159" s="30">
        <v>-151024.20000000001</v>
      </c>
      <c r="C159" s="30">
        <v>-128888.4</v>
      </c>
      <c r="D159" s="30" t="s">
        <v>1</v>
      </c>
      <c r="E159" s="29">
        <f t="shared" si="30"/>
        <v>-279912.59999999998</v>
      </c>
      <c r="F159" s="30">
        <v>0</v>
      </c>
      <c r="G159" s="30">
        <v>1539157.4000000001</v>
      </c>
      <c r="H159" s="30"/>
      <c r="I159" s="30">
        <f>19611.4+25822.8+124981.5+150000</f>
        <v>320415.7</v>
      </c>
      <c r="J159" s="30">
        <v>12539.7</v>
      </c>
      <c r="K159" s="30">
        <v>713120.2</v>
      </c>
      <c r="L159" s="31">
        <f t="shared" si="31"/>
        <v>2585233</v>
      </c>
      <c r="M159" s="30">
        <v>485147.2</v>
      </c>
      <c r="N159" s="29">
        <v>76753.3</v>
      </c>
      <c r="O159" s="31">
        <f t="shared" si="21"/>
        <v>2023332.4999999998</v>
      </c>
      <c r="P159" s="36">
        <f>30626.8+101.6</f>
        <v>30728.399999999998</v>
      </c>
      <c r="Q159" s="31">
        <v>1349647.4</v>
      </c>
      <c r="R159" s="31">
        <v>311</v>
      </c>
      <c r="S159" s="29">
        <f t="shared" si="27"/>
        <v>1380686.7999999998</v>
      </c>
      <c r="T159" s="33">
        <f t="shared" si="23"/>
        <v>3404019.3</v>
      </c>
      <c r="U159" s="29">
        <f t="shared" si="24"/>
        <v>3124106.6999999997</v>
      </c>
    </row>
    <row r="160" spans="1:21" s="35" customFormat="1" ht="15.75">
      <c r="A160" s="47">
        <v>44135</v>
      </c>
      <c r="B160" s="30">
        <v>-148193.19999999998</v>
      </c>
      <c r="C160" s="30">
        <v>-130928.60000000006</v>
      </c>
      <c r="D160" s="30" t="s">
        <v>1</v>
      </c>
      <c r="E160" s="29">
        <f t="shared" si="30"/>
        <v>-279121.80000000005</v>
      </c>
      <c r="F160" s="30">
        <v>0</v>
      </c>
      <c r="G160" s="30">
        <v>1561990.2</v>
      </c>
      <c r="H160" s="30"/>
      <c r="I160" s="30">
        <f>16167.2+26917.5+125477.3+150000+2000</f>
        <v>320562</v>
      </c>
      <c r="J160" s="30">
        <v>11146.4</v>
      </c>
      <c r="K160" s="30">
        <v>711911</v>
      </c>
      <c r="L160" s="31">
        <f t="shared" si="31"/>
        <v>2605609.5999999996</v>
      </c>
      <c r="M160" s="30">
        <v>516006.42063433299</v>
      </c>
      <c r="N160" s="29">
        <v>89546.6</v>
      </c>
      <c r="O160" s="31">
        <f t="shared" si="21"/>
        <v>2000056.5793656665</v>
      </c>
      <c r="P160" s="36">
        <f>27890.7+101.6</f>
        <v>27992.3</v>
      </c>
      <c r="Q160" s="31">
        <v>1358310.4333333336</v>
      </c>
      <c r="R160" s="31">
        <v>1236.8000000000002</v>
      </c>
      <c r="S160" s="29">
        <f t="shared" si="27"/>
        <v>1387539.5333333337</v>
      </c>
      <c r="T160" s="33">
        <f t="shared" si="23"/>
        <v>3387596.1126990002</v>
      </c>
      <c r="U160" s="29">
        <f t="shared" si="24"/>
        <v>3108474.3126990004</v>
      </c>
    </row>
    <row r="161" spans="1:21" s="35" customFormat="1" ht="15.75">
      <c r="A161" s="47">
        <v>44165</v>
      </c>
      <c r="B161" s="30">
        <v>-138961.59999999998</v>
      </c>
      <c r="C161" s="30">
        <v>-142835.59999999995</v>
      </c>
      <c r="D161" s="30" t="s">
        <v>1</v>
      </c>
      <c r="E161" s="29">
        <f t="shared" si="30"/>
        <v>-281797.19999999995</v>
      </c>
      <c r="F161" s="30">
        <v>0</v>
      </c>
      <c r="G161" s="30">
        <v>1576490.1</v>
      </c>
      <c r="H161" s="30"/>
      <c r="I161" s="30">
        <f>25646.7+26994.4+119336.2+150000+2000</f>
        <v>323977.3</v>
      </c>
      <c r="J161" s="30">
        <v>9753.1</v>
      </c>
      <c r="K161" s="30">
        <v>710701.89999999991</v>
      </c>
      <c r="L161" s="31">
        <f t="shared" si="31"/>
        <v>2620922.4000000004</v>
      </c>
      <c r="M161" s="30">
        <v>528193.41095966694</v>
      </c>
      <c r="N161" s="29">
        <v>78500.7</v>
      </c>
      <c r="O161" s="31">
        <f t="shared" si="21"/>
        <v>2014228.2890403334</v>
      </c>
      <c r="P161" s="36">
        <f>23229.4+101.6</f>
        <v>23331</v>
      </c>
      <c r="Q161" s="31">
        <v>1385259.8666666667</v>
      </c>
      <c r="R161" s="31">
        <v>1196.1000000000001</v>
      </c>
      <c r="S161" s="29">
        <f t="shared" si="27"/>
        <v>1409786.9666666668</v>
      </c>
      <c r="T161" s="33">
        <f t="shared" si="23"/>
        <v>3424015.2557070004</v>
      </c>
      <c r="U161" s="29">
        <f t="shared" si="24"/>
        <v>3142218.0557070002</v>
      </c>
    </row>
    <row r="162" spans="1:21" s="35" customFormat="1" ht="15.75">
      <c r="A162" s="47">
        <v>44196</v>
      </c>
      <c r="B162" s="30">
        <v>-93105.300000000017</v>
      </c>
      <c r="C162" s="30">
        <v>-111910.80000000002</v>
      </c>
      <c r="D162" s="30" t="s">
        <v>1</v>
      </c>
      <c r="E162" s="29">
        <f t="shared" ref="E162" si="32">+SUM(B162:D162)</f>
        <v>-205016.10000000003</v>
      </c>
      <c r="F162" s="30">
        <v>0</v>
      </c>
      <c r="G162" s="30">
        <v>1614167.6</v>
      </c>
      <c r="H162" s="30"/>
      <c r="I162" s="30">
        <f>18210.4+27463+120782.7+150000+2000</f>
        <v>318456.09999999998</v>
      </c>
      <c r="J162" s="30">
        <v>6921.2</v>
      </c>
      <c r="K162" s="30">
        <v>708283.6</v>
      </c>
      <c r="L162" s="31">
        <f t="shared" ref="L162" si="33">+SUM(F162:K162)</f>
        <v>2647828.5</v>
      </c>
      <c r="M162" s="30">
        <v>549158.91651699995</v>
      </c>
      <c r="N162" s="29">
        <v>72918.899999999994</v>
      </c>
      <c r="O162" s="31">
        <f t="shared" si="21"/>
        <v>2025750.6834830004</v>
      </c>
      <c r="P162" s="36">
        <f>22343.7+101.6</f>
        <v>22445.3</v>
      </c>
      <c r="Q162" s="31">
        <v>1413651.5</v>
      </c>
      <c r="R162" s="31">
        <v>1185.1999999999998</v>
      </c>
      <c r="S162" s="29">
        <f t="shared" si="27"/>
        <v>1437282</v>
      </c>
      <c r="T162" s="33">
        <f t="shared" si="23"/>
        <v>3463032.6834830004</v>
      </c>
      <c r="U162" s="29">
        <f t="shared" si="24"/>
        <v>3258016.5834830003</v>
      </c>
    </row>
    <row r="163" spans="1:21" s="35" customFormat="1" ht="15.75">
      <c r="A163" s="47">
        <v>44227</v>
      </c>
      <c r="B163" s="30">
        <v>-100769.59999999998</v>
      </c>
      <c r="C163" s="30">
        <v>-118502.9</v>
      </c>
      <c r="D163" s="30">
        <v>-27.233333333333334</v>
      </c>
      <c r="E163" s="29">
        <v>-219299.73333333331</v>
      </c>
      <c r="F163" s="30">
        <v>0</v>
      </c>
      <c r="G163" s="30">
        <v>1630156.1</v>
      </c>
      <c r="H163" s="30"/>
      <c r="I163" s="30">
        <v>322809.2</v>
      </c>
      <c r="J163" s="30">
        <v>6921.2</v>
      </c>
      <c r="K163" s="30">
        <v>708283.6</v>
      </c>
      <c r="L163" s="31">
        <v>2668170.1</v>
      </c>
      <c r="M163" s="30">
        <v>562252.57774199999</v>
      </c>
      <c r="N163" s="29">
        <v>84343.1</v>
      </c>
      <c r="O163" s="31">
        <v>2021574.4222579999</v>
      </c>
      <c r="P163" s="36">
        <v>28289.699999999997</v>
      </c>
      <c r="Q163" s="31">
        <v>1440450.8000000003</v>
      </c>
      <c r="R163" s="31">
        <v>1063.0999999999999</v>
      </c>
      <c r="S163" s="29">
        <v>1469803.6000000003</v>
      </c>
      <c r="T163" s="33">
        <v>3491378.0222580004</v>
      </c>
      <c r="U163" s="29">
        <v>3272078.2889246671</v>
      </c>
    </row>
    <row r="164" spans="1:21" s="35" customFormat="1" ht="15.75">
      <c r="A164" s="47">
        <v>44255</v>
      </c>
      <c r="B164" s="30">
        <v>-94851.999999999971</v>
      </c>
      <c r="C164" s="30">
        <v>-94494.800000000047</v>
      </c>
      <c r="D164" s="30">
        <v>-54.466666666666669</v>
      </c>
      <c r="E164" s="29">
        <v>-189401.26666666669</v>
      </c>
      <c r="F164" s="30">
        <v>0</v>
      </c>
      <c r="G164" s="30">
        <v>1650991.0999999999</v>
      </c>
      <c r="H164" s="30"/>
      <c r="I164" s="30">
        <v>353692.5</v>
      </c>
      <c r="J164" s="30">
        <v>5527.9</v>
      </c>
      <c r="K164" s="30">
        <v>704458.1</v>
      </c>
      <c r="L164" s="31">
        <v>2714669.5999999996</v>
      </c>
      <c r="M164" s="30">
        <v>617816.80289299996</v>
      </c>
      <c r="N164" s="29">
        <v>74764.100000000006</v>
      </c>
      <c r="O164" s="31">
        <v>2022088.6971069996</v>
      </c>
      <c r="P164" s="36">
        <v>26351.899999999998</v>
      </c>
      <c r="Q164" s="31">
        <v>1473856.5</v>
      </c>
      <c r="R164" s="31">
        <v>1036.3</v>
      </c>
      <c r="S164" s="29">
        <v>1501244.7</v>
      </c>
      <c r="T164" s="33">
        <v>3523333.3971069995</v>
      </c>
      <c r="U164" s="29">
        <v>3333932.1304403329</v>
      </c>
    </row>
    <row r="165" spans="1:21" s="35" customFormat="1" ht="15.75">
      <c r="A165" s="47">
        <v>44286</v>
      </c>
      <c r="B165" s="30">
        <v>-119123.90000000002</v>
      </c>
      <c r="C165" s="30">
        <v>-108593.39999999997</v>
      </c>
      <c r="D165" s="30">
        <v>-81.7</v>
      </c>
      <c r="E165" s="29">
        <v>-227799</v>
      </c>
      <c r="F165" s="30">
        <v>0</v>
      </c>
      <c r="G165" s="30">
        <v>1648781.3</v>
      </c>
      <c r="H165" s="30"/>
      <c r="I165" s="30">
        <v>328747.7</v>
      </c>
      <c r="J165" s="30">
        <v>4134.6000000000004</v>
      </c>
      <c r="K165" s="30">
        <v>703262.9</v>
      </c>
      <c r="L165" s="31">
        <v>2684926.5</v>
      </c>
      <c r="M165" s="30">
        <v>570127</v>
      </c>
      <c r="N165" s="29">
        <v>79893.7</v>
      </c>
      <c r="O165" s="31">
        <v>2034905.8</v>
      </c>
      <c r="P165" s="36">
        <v>24688.199999999997</v>
      </c>
      <c r="Q165" s="31">
        <v>1524807.0000000002</v>
      </c>
      <c r="R165" s="31">
        <v>734.60000000000014</v>
      </c>
      <c r="S165" s="29">
        <v>1550229.8000000003</v>
      </c>
      <c r="T165" s="33">
        <v>3585135.6000000006</v>
      </c>
      <c r="U165" s="29">
        <v>3357336.6000000006</v>
      </c>
    </row>
    <row r="166" spans="1:21" s="35" customFormat="1" ht="15.75">
      <c r="A166" s="47">
        <v>44316</v>
      </c>
      <c r="B166" s="30">
        <v>-105226.09999999998</v>
      </c>
      <c r="C166" s="30">
        <v>-143518.30000000002</v>
      </c>
      <c r="D166" s="30">
        <v>-93.8</v>
      </c>
      <c r="E166" s="29">
        <v>-248838.19999999998</v>
      </c>
      <c r="F166" s="30">
        <v>0</v>
      </c>
      <c r="G166" s="30">
        <v>1666160.8</v>
      </c>
      <c r="H166" s="30"/>
      <c r="I166" s="30">
        <v>351318.8</v>
      </c>
      <c r="J166" s="30">
        <v>2741.3</v>
      </c>
      <c r="K166" s="30">
        <v>702954.8</v>
      </c>
      <c r="L166" s="31">
        <v>2723175.7</v>
      </c>
      <c r="M166" s="30">
        <v>605863.23333333305</v>
      </c>
      <c r="N166" s="29">
        <v>103216.1</v>
      </c>
      <c r="O166" s="31">
        <v>2014096.3666666672</v>
      </c>
      <c r="P166" s="36">
        <v>23401.3</v>
      </c>
      <c r="Q166" s="31">
        <v>1552846.0999999996</v>
      </c>
      <c r="R166" s="31">
        <v>596.59999999999991</v>
      </c>
      <c r="S166" s="29">
        <v>1576843.9999999998</v>
      </c>
      <c r="T166" s="33">
        <v>3590940.3666666672</v>
      </c>
      <c r="U166" s="29">
        <v>3342102.166666667</v>
      </c>
    </row>
    <row r="167" spans="1:21" s="35" customFormat="1" ht="15.75">
      <c r="A167" s="47">
        <v>44347</v>
      </c>
      <c r="B167" s="30">
        <v>-123599.69999999998</v>
      </c>
      <c r="C167" s="30">
        <v>-148492.4</v>
      </c>
      <c r="D167" s="30">
        <v>-105.9</v>
      </c>
      <c r="E167" s="29">
        <v>-272198</v>
      </c>
      <c r="F167" s="30">
        <v>0</v>
      </c>
      <c r="G167" s="30">
        <v>1691766.9</v>
      </c>
      <c r="H167" s="30"/>
      <c r="I167" s="30">
        <v>342116.6</v>
      </c>
      <c r="J167" s="30">
        <v>0</v>
      </c>
      <c r="K167" s="30">
        <v>702546.1</v>
      </c>
      <c r="L167" s="31">
        <v>2736429.6</v>
      </c>
      <c r="M167" s="30">
        <v>602255.26666666695</v>
      </c>
      <c r="N167" s="29">
        <v>92826.3</v>
      </c>
      <c r="O167" s="31">
        <v>2041348.033333333</v>
      </c>
      <c r="P167" s="36">
        <v>24903.699999999997</v>
      </c>
      <c r="Q167" s="31">
        <v>1616844.9000000004</v>
      </c>
      <c r="R167" s="31">
        <v>5596.7000000000007</v>
      </c>
      <c r="S167" s="29">
        <v>1647345.3000000003</v>
      </c>
      <c r="T167" s="33">
        <v>3688693.333333333</v>
      </c>
      <c r="U167" s="29">
        <v>3416495.333333333</v>
      </c>
    </row>
    <row r="168" spans="1:21" s="35" customFormat="1" ht="15.75">
      <c r="A168" s="47">
        <v>44377</v>
      </c>
      <c r="B168" s="30">
        <v>-114588.4</v>
      </c>
      <c r="C168" s="30">
        <v>-190802.4</v>
      </c>
      <c r="D168" s="30">
        <v>-118</v>
      </c>
      <c r="E168" s="29">
        <v>-305508.8</v>
      </c>
      <c r="F168" s="30">
        <v>57076.7</v>
      </c>
      <c r="G168" s="30">
        <v>1719227.5999999999</v>
      </c>
      <c r="H168" s="30"/>
      <c r="I168" s="30">
        <v>347225.00000000006</v>
      </c>
      <c r="J168" s="30">
        <v>0</v>
      </c>
      <c r="K168" s="30">
        <v>701028.8</v>
      </c>
      <c r="L168" s="31">
        <v>2824558.0999999996</v>
      </c>
      <c r="M168" s="30">
        <v>625806.5</v>
      </c>
      <c r="N168" s="29">
        <v>82601.5</v>
      </c>
      <c r="O168" s="31">
        <v>2116150.0999999996</v>
      </c>
      <c r="P168" s="36">
        <v>26228.6</v>
      </c>
      <c r="Q168" s="31">
        <v>1724195.7</v>
      </c>
      <c r="R168" s="31">
        <v>5539.4</v>
      </c>
      <c r="S168" s="29">
        <v>1755963.7</v>
      </c>
      <c r="T168" s="33">
        <v>3872113.8</v>
      </c>
      <c r="U168" s="29">
        <v>3566605</v>
      </c>
    </row>
    <row r="169" spans="1:21" s="35" customFormat="1" ht="15.75">
      <c r="A169" s="47">
        <v>44408</v>
      </c>
      <c r="B169" s="30">
        <v>-137154.4</v>
      </c>
      <c r="C169" s="30">
        <v>-203220.3</v>
      </c>
      <c r="D169" s="30">
        <v>-148.66666666666666</v>
      </c>
      <c r="E169" s="29">
        <v>-340523.36666666664</v>
      </c>
      <c r="F169" s="30">
        <v>63146.5</v>
      </c>
      <c r="G169" s="30">
        <v>1777924.3</v>
      </c>
      <c r="H169" s="30"/>
      <c r="I169" s="30">
        <v>334942.40000000002</v>
      </c>
      <c r="J169" s="30">
        <v>0</v>
      </c>
      <c r="K169" s="30">
        <v>700389</v>
      </c>
      <c r="L169" s="31">
        <v>2876402.2</v>
      </c>
      <c r="M169" s="30">
        <v>629393.76666666695</v>
      </c>
      <c r="N169" s="29">
        <v>92362.5</v>
      </c>
      <c r="O169" s="31">
        <v>2154645.9333333331</v>
      </c>
      <c r="P169" s="36">
        <v>23518.199999999997</v>
      </c>
      <c r="Q169" s="31">
        <v>1796258.9999999998</v>
      </c>
      <c r="R169" s="31">
        <v>383.9</v>
      </c>
      <c r="S169" s="29">
        <v>1820161.0999999996</v>
      </c>
      <c r="T169" s="33">
        <v>3974807.0333333327</v>
      </c>
      <c r="U169" s="29">
        <v>3634283.666666666</v>
      </c>
    </row>
    <row r="170" spans="1:21" s="35" customFormat="1" ht="15.75">
      <c r="A170" s="47">
        <v>44439</v>
      </c>
      <c r="B170" s="30">
        <v>-140627.90000000002</v>
      </c>
      <c r="C170" s="30">
        <v>-223632.4</v>
      </c>
      <c r="D170" s="30">
        <v>-179.33333333333334</v>
      </c>
      <c r="E170" s="29">
        <v>-364439.63333333336</v>
      </c>
      <c r="F170" s="30">
        <v>33670.800000000003</v>
      </c>
      <c r="G170" s="30">
        <v>1802932.4000000001</v>
      </c>
      <c r="H170" s="30"/>
      <c r="I170" s="30">
        <v>350919.80000000005</v>
      </c>
      <c r="J170" s="30">
        <v>0</v>
      </c>
      <c r="K170" s="30">
        <v>698477.8</v>
      </c>
      <c r="L170" s="31">
        <v>2886000.8</v>
      </c>
      <c r="M170" s="30">
        <v>663897.83333333302</v>
      </c>
      <c r="N170" s="29">
        <v>81429.399999999994</v>
      </c>
      <c r="O170" s="31">
        <v>2140673.5666666669</v>
      </c>
      <c r="P170" s="36">
        <v>25458.699999999997</v>
      </c>
      <c r="Q170" s="31">
        <v>1877007.8</v>
      </c>
      <c r="R170" s="31">
        <v>309.8</v>
      </c>
      <c r="S170" s="29">
        <v>1902776.3</v>
      </c>
      <c r="T170" s="33">
        <v>4043449.8666666672</v>
      </c>
      <c r="U170" s="29">
        <v>3679010.2333333339</v>
      </c>
    </row>
    <row r="171" spans="1:21" s="35" customFormat="1" ht="15.75">
      <c r="A171" s="47">
        <v>44469</v>
      </c>
      <c r="B171" s="30">
        <v>-150538.59999999998</v>
      </c>
      <c r="C171" s="30">
        <v>-254415.30000000002</v>
      </c>
      <c r="D171" s="30">
        <v>-210</v>
      </c>
      <c r="E171" s="29">
        <v>-405163.9</v>
      </c>
      <c r="F171" s="30">
        <v>0</v>
      </c>
      <c r="G171" s="30">
        <v>1831324.1</v>
      </c>
      <c r="H171" s="30"/>
      <c r="I171" s="30">
        <v>347172.2</v>
      </c>
      <c r="J171" s="30">
        <v>0</v>
      </c>
      <c r="K171" s="30">
        <v>697339.3</v>
      </c>
      <c r="L171" s="31">
        <v>2875835.6000000006</v>
      </c>
      <c r="M171" s="30">
        <v>651228.69999999995</v>
      </c>
      <c r="N171" s="29">
        <v>81058.8</v>
      </c>
      <c r="O171" s="31">
        <v>2143548.1000000006</v>
      </c>
      <c r="P171" s="36">
        <v>25714.199999999997</v>
      </c>
      <c r="Q171" s="31">
        <v>2139925.6</v>
      </c>
      <c r="R171" s="31">
        <v>337.9</v>
      </c>
      <c r="S171" s="29">
        <v>2165977.7000000002</v>
      </c>
      <c r="T171" s="33">
        <v>4309525.8000000007</v>
      </c>
      <c r="U171" s="29">
        <v>3904361.9000000008</v>
      </c>
    </row>
    <row r="172" spans="1:21" s="35" customFormat="1" ht="15.75">
      <c r="A172" s="47">
        <v>44500</v>
      </c>
      <c r="B172" s="30">
        <v>4592.7000000000698</v>
      </c>
      <c r="C172" s="30">
        <v>-281290.19999999995</v>
      </c>
      <c r="D172" s="30">
        <v>-140</v>
      </c>
      <c r="E172" s="29">
        <v>-276837.49999999988</v>
      </c>
      <c r="F172" s="30">
        <v>0</v>
      </c>
      <c r="G172" s="30">
        <v>1829946.6</v>
      </c>
      <c r="H172" s="30"/>
      <c r="I172" s="30">
        <v>348219.30000000005</v>
      </c>
      <c r="J172" s="30">
        <v>0</v>
      </c>
      <c r="K172" s="30">
        <v>696699.4</v>
      </c>
      <c r="L172" s="31">
        <v>2874865.3000000003</v>
      </c>
      <c r="M172" s="30">
        <v>828877.76666666695</v>
      </c>
      <c r="N172" s="29">
        <v>83014.5</v>
      </c>
      <c r="O172" s="31">
        <v>1962973.0333333332</v>
      </c>
      <c r="P172" s="36">
        <v>25674.5</v>
      </c>
      <c r="Q172" s="31">
        <v>2219896.9</v>
      </c>
      <c r="R172" s="31">
        <v>279.7</v>
      </c>
      <c r="S172" s="29">
        <v>2245851.1</v>
      </c>
      <c r="T172" s="33">
        <v>4208824.1333333328</v>
      </c>
      <c r="U172" s="29">
        <v>3931986.6333333328</v>
      </c>
    </row>
    <row r="173" spans="1:21" s="35" customFormat="1" ht="15.75">
      <c r="A173" s="47">
        <v>44530</v>
      </c>
      <c r="B173" s="30">
        <v>-78219.400000000023</v>
      </c>
      <c r="C173" s="30">
        <v>-243064.40000000002</v>
      </c>
      <c r="D173" s="30">
        <v>-70</v>
      </c>
      <c r="E173" s="29">
        <v>-321353.80000000005</v>
      </c>
      <c r="F173" s="30">
        <v>61719.1</v>
      </c>
      <c r="G173" s="30">
        <v>1820943</v>
      </c>
      <c r="H173" s="30"/>
      <c r="I173" s="30">
        <v>292644.5</v>
      </c>
      <c r="J173" s="30">
        <v>0</v>
      </c>
      <c r="K173" s="30">
        <v>693753.1</v>
      </c>
      <c r="L173" s="31">
        <v>2869059.7</v>
      </c>
      <c r="M173" s="30">
        <v>831789.933333333</v>
      </c>
      <c r="N173" s="29">
        <v>79761.3</v>
      </c>
      <c r="O173" s="31">
        <v>1957508.466666667</v>
      </c>
      <c r="P173" s="36">
        <v>25832.899999999998</v>
      </c>
      <c r="Q173" s="31">
        <v>2304968.6</v>
      </c>
      <c r="R173" s="31">
        <v>266.3</v>
      </c>
      <c r="S173" s="29">
        <v>2331067.7999999998</v>
      </c>
      <c r="T173" s="33">
        <v>4288576.2666666666</v>
      </c>
      <c r="U173" s="29">
        <v>3967222.4666666668</v>
      </c>
    </row>
    <row r="174" spans="1:21" s="35" customFormat="1" ht="15.75">
      <c r="A174" s="47">
        <v>44561</v>
      </c>
      <c r="B174" s="30">
        <v>-141348.09999999998</v>
      </c>
      <c r="C174" s="30">
        <v>-181042.40000000002</v>
      </c>
      <c r="D174" s="30">
        <v>0</v>
      </c>
      <c r="E174" s="29">
        <v>-322390.5</v>
      </c>
      <c r="F174" s="30">
        <v>36124.9</v>
      </c>
      <c r="G174" s="30">
        <v>1816057.7</v>
      </c>
      <c r="H174" s="30"/>
      <c r="I174" s="30">
        <v>290056.7</v>
      </c>
      <c r="J174" s="30">
        <v>0</v>
      </c>
      <c r="K174" s="30">
        <v>690961.7</v>
      </c>
      <c r="L174" s="31">
        <v>2833201</v>
      </c>
      <c r="M174" s="30">
        <v>826676.3</v>
      </c>
      <c r="N174" s="29">
        <v>75800.899999999994</v>
      </c>
      <c r="O174" s="31">
        <v>1930723.8</v>
      </c>
      <c r="P174" s="36">
        <v>25121</v>
      </c>
      <c r="Q174" s="31">
        <v>2351893.4000000004</v>
      </c>
      <c r="R174" s="31">
        <v>256.5</v>
      </c>
      <c r="S174" s="29">
        <v>2377270.9000000004</v>
      </c>
      <c r="T174" s="33">
        <v>4307994.7</v>
      </c>
      <c r="U174" s="29">
        <v>3985604.2</v>
      </c>
    </row>
    <row r="175" spans="1:21" s="35" customFormat="1" ht="18">
      <c r="A175" s="47" t="s">
        <v>59</v>
      </c>
      <c r="B175" s="30">
        <v>-117059.80000000005</v>
      </c>
      <c r="C175" s="30">
        <v>-237485.4</v>
      </c>
      <c r="D175" s="30">
        <v>0</v>
      </c>
      <c r="E175" s="29">
        <v>-354545.20000000007</v>
      </c>
      <c r="F175" s="30">
        <v>57950.6</v>
      </c>
      <c r="G175" s="30">
        <v>1809944.3</v>
      </c>
      <c r="H175" s="30"/>
      <c r="I175" s="30">
        <v>435342.9</v>
      </c>
      <c r="J175" s="30">
        <v>0</v>
      </c>
      <c r="K175" s="30">
        <v>691355.6</v>
      </c>
      <c r="L175" s="31">
        <v>2994593.4000000004</v>
      </c>
      <c r="M175" s="30">
        <v>835800.16666666698</v>
      </c>
      <c r="N175" s="29">
        <v>82686.100000000006</v>
      </c>
      <c r="O175" s="31">
        <v>2076107.1333333333</v>
      </c>
      <c r="P175" s="36">
        <v>24911.699999999997</v>
      </c>
      <c r="Q175" s="31">
        <v>2391503.2000000002</v>
      </c>
      <c r="R175" s="31">
        <v>230.5</v>
      </c>
      <c r="S175" s="29">
        <v>2416645.4000000004</v>
      </c>
      <c r="T175" s="33">
        <v>4492752.5333333332</v>
      </c>
      <c r="U175" s="29">
        <v>4138207.333333333</v>
      </c>
    </row>
    <row r="176" spans="1:21" s="51" customFormat="1" ht="18">
      <c r="A176" s="47" t="s">
        <v>61</v>
      </c>
      <c r="B176" s="30">
        <v>-117059.80000000005</v>
      </c>
      <c r="C176" s="30">
        <v>-222015.3</v>
      </c>
      <c r="D176" s="30">
        <v>0</v>
      </c>
      <c r="E176" s="29">
        <v>-339075.10000000003</v>
      </c>
      <c r="F176" s="30">
        <v>57950.6</v>
      </c>
      <c r="G176" s="30">
        <v>1817154.0000000002</v>
      </c>
      <c r="H176" s="30"/>
      <c r="I176" s="30">
        <v>436179.7</v>
      </c>
      <c r="J176" s="30">
        <v>0</v>
      </c>
      <c r="K176" s="30">
        <v>691355.6</v>
      </c>
      <c r="L176" s="29">
        <v>3002639.9000000004</v>
      </c>
      <c r="M176" s="30">
        <v>841264.8</v>
      </c>
      <c r="N176" s="29">
        <v>90403.9</v>
      </c>
      <c r="O176" s="29">
        <v>2070971.2000000007</v>
      </c>
      <c r="P176" s="50">
        <v>24451.600000000002</v>
      </c>
      <c r="Q176" s="29">
        <v>2473862.9000000004</v>
      </c>
      <c r="R176" s="29">
        <v>245.6</v>
      </c>
      <c r="S176" s="29">
        <v>2498560.1000000006</v>
      </c>
      <c r="T176" s="33">
        <v>4569531.3000000007</v>
      </c>
      <c r="U176" s="29">
        <v>4230456.2000000011</v>
      </c>
    </row>
    <row r="177" spans="1:22" s="51" customFormat="1" ht="18">
      <c r="A177" s="47" t="s">
        <v>62</v>
      </c>
      <c r="B177" s="30">
        <v>-113493.90000000002</v>
      </c>
      <c r="C177" s="30">
        <v>-194680.9</v>
      </c>
      <c r="D177" s="30">
        <v>0</v>
      </c>
      <c r="E177" s="29">
        <v>-308174.80000000005</v>
      </c>
      <c r="F177" s="30">
        <v>32028.5</v>
      </c>
      <c r="G177" s="30">
        <v>1833166.5</v>
      </c>
      <c r="H177" s="30"/>
      <c r="I177" s="30">
        <v>434429.8</v>
      </c>
      <c r="J177" s="30">
        <v>0</v>
      </c>
      <c r="K177" s="30">
        <v>690433.4</v>
      </c>
      <c r="L177" s="29">
        <v>2990058.1999999997</v>
      </c>
      <c r="M177" s="30">
        <v>950524.7</v>
      </c>
      <c r="N177" s="29">
        <v>118394.9</v>
      </c>
      <c r="O177" s="29">
        <v>1921138.5999999999</v>
      </c>
      <c r="P177" s="50">
        <v>24010.399999999998</v>
      </c>
      <c r="Q177" s="29">
        <v>2537532.2000000002</v>
      </c>
      <c r="R177" s="29">
        <v>238.4</v>
      </c>
      <c r="S177" s="29">
        <v>2561781</v>
      </c>
      <c r="T177" s="33">
        <v>4482919.5999999996</v>
      </c>
      <c r="U177" s="29">
        <v>4174744.8</v>
      </c>
    </row>
    <row r="178" spans="1:22" s="51" customFormat="1" ht="18">
      <c r="A178" s="47" t="s">
        <v>63</v>
      </c>
      <c r="B178" s="30">
        <v>-113493.90000000002</v>
      </c>
      <c r="C178" s="30">
        <v>-165760.99999999997</v>
      </c>
      <c r="D178" s="30">
        <v>0</v>
      </c>
      <c r="E178" s="29">
        <v>-279254.90000000002</v>
      </c>
      <c r="F178" s="30">
        <v>32028.5</v>
      </c>
      <c r="G178" s="30">
        <v>1817104.8</v>
      </c>
      <c r="H178" s="30"/>
      <c r="I178" s="30">
        <v>438518.19999999995</v>
      </c>
      <c r="J178" s="30">
        <v>0</v>
      </c>
      <c r="K178" s="30">
        <v>690433.4</v>
      </c>
      <c r="L178" s="29">
        <v>2978084.9</v>
      </c>
      <c r="M178" s="30">
        <v>918450.3</v>
      </c>
      <c r="N178" s="29">
        <v>113333.2</v>
      </c>
      <c r="O178" s="29">
        <v>1946301.4</v>
      </c>
      <c r="P178" s="50">
        <v>24211.1</v>
      </c>
      <c r="Q178" s="29">
        <v>2620161.1100000003</v>
      </c>
      <c r="R178" s="29">
        <v>233</v>
      </c>
      <c r="S178" s="29">
        <v>2644605.2100000004</v>
      </c>
      <c r="T178" s="33">
        <v>4590906.6100000003</v>
      </c>
      <c r="U178" s="29">
        <v>4311651.71</v>
      </c>
    </row>
    <row r="179" spans="1:22" s="51" customFormat="1" ht="18">
      <c r="A179" s="47" t="s">
        <v>64</v>
      </c>
      <c r="B179" s="30">
        <v>-113493.90000000002</v>
      </c>
      <c r="C179" s="30">
        <v>-135284.69999999998</v>
      </c>
      <c r="D179" s="30">
        <v>0</v>
      </c>
      <c r="E179" s="29">
        <v>-248778.6</v>
      </c>
      <c r="F179" s="30">
        <v>32028.5</v>
      </c>
      <c r="G179" s="30">
        <v>1791570.8</v>
      </c>
      <c r="H179" s="30"/>
      <c r="I179" s="30">
        <v>431390.89999999997</v>
      </c>
      <c r="J179" s="30">
        <v>0</v>
      </c>
      <c r="K179" s="30">
        <v>690433.4</v>
      </c>
      <c r="L179" s="29">
        <v>2945423.6</v>
      </c>
      <c r="M179" s="30">
        <v>942925</v>
      </c>
      <c r="N179" s="29">
        <v>87288.2</v>
      </c>
      <c r="O179" s="29">
        <v>1915210.4000000001</v>
      </c>
      <c r="P179" s="50">
        <v>23597.5</v>
      </c>
      <c r="Q179" s="29">
        <v>2716270.3</v>
      </c>
      <c r="R179" s="29">
        <v>270.40000000000003</v>
      </c>
      <c r="S179" s="29">
        <v>2740138.1999999997</v>
      </c>
      <c r="T179" s="33">
        <v>4655348.5999999996</v>
      </c>
      <c r="U179" s="29">
        <v>4406570</v>
      </c>
    </row>
    <row r="180" spans="1:22" s="51" customFormat="1" ht="18">
      <c r="A180" s="47" t="s">
        <v>65</v>
      </c>
      <c r="B180" s="30">
        <v>-232158.59999999998</v>
      </c>
      <c r="C180" s="30">
        <v>-190483.3</v>
      </c>
      <c r="D180" s="30">
        <v>0</v>
      </c>
      <c r="E180" s="29">
        <v>-422641.89999999997</v>
      </c>
      <c r="F180" s="30">
        <v>266435.90000000002</v>
      </c>
      <c r="G180" s="30">
        <v>1777341.7</v>
      </c>
      <c r="H180" s="30"/>
      <c r="I180" s="30">
        <v>527359.1</v>
      </c>
      <c r="J180" s="30">
        <v>0</v>
      </c>
      <c r="K180" s="30">
        <v>686729.1</v>
      </c>
      <c r="L180" s="29">
        <v>3257865.8000000003</v>
      </c>
      <c r="M180" s="30">
        <v>905722.6</v>
      </c>
      <c r="N180" s="29">
        <v>120078.3</v>
      </c>
      <c r="O180" s="29">
        <v>2232064.9000000004</v>
      </c>
      <c r="P180" s="50">
        <v>24195.1</v>
      </c>
      <c r="Q180" s="29">
        <v>2883093.9</v>
      </c>
      <c r="R180" s="29">
        <v>6839.5000000000009</v>
      </c>
      <c r="S180" s="29">
        <v>2914128.5</v>
      </c>
      <c r="T180" s="33">
        <v>5146193.4000000004</v>
      </c>
      <c r="U180" s="29">
        <v>4723551.5</v>
      </c>
    </row>
    <row r="181" spans="1:22" s="51" customFormat="1" ht="18">
      <c r="A181" s="47" t="s">
        <v>66</v>
      </c>
      <c r="B181" s="30">
        <v>-335583.1</v>
      </c>
      <c r="C181" s="30">
        <v>-217524.60000000003</v>
      </c>
      <c r="D181" s="30">
        <v>0</v>
      </c>
      <c r="E181" s="29">
        <v>-553107.69999999995</v>
      </c>
      <c r="F181" s="30">
        <v>28468.2</v>
      </c>
      <c r="G181" s="30">
        <v>1762267.7000000002</v>
      </c>
      <c r="H181" s="30"/>
      <c r="I181" s="30">
        <v>844494.5</v>
      </c>
      <c r="J181" s="30">
        <v>0</v>
      </c>
      <c r="K181" s="30">
        <v>945987.1</v>
      </c>
      <c r="L181" s="29">
        <v>3581217.5000000005</v>
      </c>
      <c r="M181" s="30">
        <v>968378.6</v>
      </c>
      <c r="N181" s="29">
        <v>115213.2</v>
      </c>
      <c r="O181" s="29">
        <v>2497625.7000000002</v>
      </c>
      <c r="P181" s="50">
        <v>25024.1</v>
      </c>
      <c r="Q181" s="29">
        <v>3001900.1</v>
      </c>
      <c r="R181" s="29">
        <v>213</v>
      </c>
      <c r="S181" s="29">
        <v>3027137.2</v>
      </c>
      <c r="T181" s="33">
        <v>5524762.9000000004</v>
      </c>
      <c r="U181" s="29">
        <v>4971655.2</v>
      </c>
    </row>
    <row r="182" spans="1:22" s="51" customFormat="1" ht="18">
      <c r="A182" s="47" t="s">
        <v>67</v>
      </c>
      <c r="B182" s="30">
        <v>-298966.30000000005</v>
      </c>
      <c r="C182" s="30">
        <v>-239292.79999999999</v>
      </c>
      <c r="D182" s="30">
        <v>0</v>
      </c>
      <c r="E182" s="29">
        <v>-538259.10000000009</v>
      </c>
      <c r="F182" s="30">
        <v>17695.5</v>
      </c>
      <c r="G182" s="30">
        <v>1772507.1</v>
      </c>
      <c r="H182" s="30"/>
      <c r="I182" s="30">
        <v>823178.60000000009</v>
      </c>
      <c r="J182" s="30">
        <v>0</v>
      </c>
      <c r="K182" s="30">
        <v>956869.3</v>
      </c>
      <c r="L182" s="29">
        <v>3570250.5</v>
      </c>
      <c r="M182" s="30">
        <v>895046.7</v>
      </c>
      <c r="N182" s="29">
        <v>96818.9</v>
      </c>
      <c r="O182" s="29">
        <v>2578384.9</v>
      </c>
      <c r="P182" s="50">
        <v>25410.199999999997</v>
      </c>
      <c r="Q182" s="29">
        <v>3058815.1</v>
      </c>
      <c r="R182" s="29">
        <v>203.5</v>
      </c>
      <c r="S182" s="29">
        <v>3084428.8000000003</v>
      </c>
      <c r="T182" s="33">
        <v>5662813.7000000002</v>
      </c>
      <c r="U182" s="29">
        <v>5124554.5999999996</v>
      </c>
    </row>
    <row r="183" spans="1:22" s="51" customFormat="1" ht="18">
      <c r="A183" s="47" t="s">
        <v>68</v>
      </c>
      <c r="B183" s="30">
        <v>-252190.40000000002</v>
      </c>
      <c r="C183" s="30">
        <v>-326773.39999999997</v>
      </c>
      <c r="D183" s="30">
        <v>0</v>
      </c>
      <c r="E183" s="29">
        <v>-578963.80000000005</v>
      </c>
      <c r="F183" s="30">
        <v>82611.8</v>
      </c>
      <c r="G183" s="30">
        <v>1832259.9</v>
      </c>
      <c r="H183" s="30"/>
      <c r="I183" s="30">
        <v>818451.99999999988</v>
      </c>
      <c r="J183" s="30">
        <v>0</v>
      </c>
      <c r="K183" s="30">
        <v>956869.3</v>
      </c>
      <c r="L183" s="29">
        <v>3690193</v>
      </c>
      <c r="M183" s="30">
        <v>1028635.6</v>
      </c>
      <c r="N183" s="29">
        <v>122476.3</v>
      </c>
      <c r="O183" s="29">
        <v>2539081.1</v>
      </c>
      <c r="P183" s="50">
        <v>24189.1</v>
      </c>
      <c r="Q183" s="29">
        <v>3202697.6999999997</v>
      </c>
      <c r="R183" s="29">
        <v>829.2</v>
      </c>
      <c r="S183" s="29">
        <v>3227716</v>
      </c>
      <c r="T183" s="33">
        <v>5766797.0999999996</v>
      </c>
      <c r="U183" s="29">
        <v>5187833.3</v>
      </c>
    </row>
    <row r="184" spans="1:22" s="51" customFormat="1" ht="18">
      <c r="A184" s="47" t="s">
        <v>69</v>
      </c>
      <c r="B184" s="30">
        <v>-264530.59999999998</v>
      </c>
      <c r="C184" s="30">
        <v>-309265.7</v>
      </c>
      <c r="D184" s="30">
        <v>0</v>
      </c>
      <c r="E184" s="29">
        <v>-573796.30000000005</v>
      </c>
      <c r="F184" s="30">
        <v>25854.9</v>
      </c>
      <c r="G184" s="30">
        <v>1843946.9999999998</v>
      </c>
      <c r="H184" s="30"/>
      <c r="I184" s="30">
        <v>819336.49999999988</v>
      </c>
      <c r="J184" s="30">
        <v>0</v>
      </c>
      <c r="K184" s="30">
        <v>956869.3</v>
      </c>
      <c r="L184" s="29">
        <v>3646007.6999999993</v>
      </c>
      <c r="M184" s="30">
        <v>968277.1</v>
      </c>
      <c r="N184" s="29">
        <v>65963.3</v>
      </c>
      <c r="O184" s="29">
        <v>2611767.2999999993</v>
      </c>
      <c r="P184" s="50">
        <v>23669.8</v>
      </c>
      <c r="Q184" s="29">
        <v>3197798.3</v>
      </c>
      <c r="R184" s="29">
        <v>189</v>
      </c>
      <c r="S184" s="29">
        <v>3221657.0999999996</v>
      </c>
      <c r="T184" s="33">
        <v>5833424.3999999985</v>
      </c>
      <c r="U184" s="29">
        <v>5259628.0999999987</v>
      </c>
    </row>
    <row r="185" spans="1:22" s="51" customFormat="1" ht="18">
      <c r="A185" s="47" t="s">
        <v>70</v>
      </c>
      <c r="B185" s="30">
        <v>-202019.69999999995</v>
      </c>
      <c r="C185" s="30">
        <v>-350353.7</v>
      </c>
      <c r="D185" s="30">
        <v>0</v>
      </c>
      <c r="E185" s="29">
        <v>-552373.39999999991</v>
      </c>
      <c r="F185" s="30">
        <v>52799.4</v>
      </c>
      <c r="G185" s="30">
        <v>1891121.7</v>
      </c>
      <c r="H185" s="30"/>
      <c r="I185" s="30">
        <v>820844</v>
      </c>
      <c r="J185" s="30">
        <v>0</v>
      </c>
      <c r="K185" s="30">
        <v>942130</v>
      </c>
      <c r="L185" s="29">
        <v>3706895.0999999996</v>
      </c>
      <c r="M185" s="30">
        <v>1099631.3999999999</v>
      </c>
      <c r="N185" s="29">
        <v>116703.4</v>
      </c>
      <c r="O185" s="29">
        <v>2490560.2999999998</v>
      </c>
      <c r="P185" s="50">
        <v>25111</v>
      </c>
      <c r="Q185" s="29">
        <v>3274790.4</v>
      </c>
      <c r="R185" s="29">
        <v>181.5</v>
      </c>
      <c r="S185" s="29">
        <v>3300082.9</v>
      </c>
      <c r="T185" s="33">
        <v>5790643.1999999993</v>
      </c>
      <c r="U185" s="29">
        <v>5238269.7999999989</v>
      </c>
    </row>
    <row r="186" spans="1:22" s="51" customFormat="1" ht="18">
      <c r="A186" s="47" t="s">
        <v>73</v>
      </c>
      <c r="B186" s="30">
        <v>-252046.90000000002</v>
      </c>
      <c r="C186" s="30">
        <v>-309522.09999999998</v>
      </c>
      <c r="D186" s="30">
        <v>0</v>
      </c>
      <c r="E186" s="29">
        <v>-561569</v>
      </c>
      <c r="F186" s="30">
        <v>3346.5</v>
      </c>
      <c r="G186" s="30">
        <v>1994536.9</v>
      </c>
      <c r="H186" s="30"/>
      <c r="I186" s="30">
        <v>874563.6</v>
      </c>
      <c r="J186" s="30">
        <v>0</v>
      </c>
      <c r="K186" s="30">
        <v>941229</v>
      </c>
      <c r="L186" s="29">
        <v>3813676</v>
      </c>
      <c r="M186" s="30">
        <v>1150066.7</v>
      </c>
      <c r="N186" s="29">
        <v>128898.4</v>
      </c>
      <c r="O186" s="29">
        <v>2534710.9</v>
      </c>
      <c r="P186" s="50">
        <v>23746.799999999999</v>
      </c>
      <c r="Q186" s="29">
        <v>3333011.8</v>
      </c>
      <c r="R186" s="29">
        <v>167.9</v>
      </c>
      <c r="S186" s="29">
        <v>3356926.4999999995</v>
      </c>
      <c r="T186" s="33">
        <v>5891637.3999999994</v>
      </c>
      <c r="U186" s="29">
        <v>5330068.3999999994</v>
      </c>
    </row>
    <row r="187" spans="1:22" s="35" customFormat="1" ht="15.75">
      <c r="A187" s="59" t="s">
        <v>54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1"/>
      <c r="V187" s="34" t="s">
        <v>60</v>
      </c>
    </row>
    <row r="188" spans="1:22" s="35" customFormat="1" ht="15.75">
      <c r="A188" s="6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4"/>
      <c r="V188" s="34"/>
    </row>
    <row r="189" spans="1:22" s="35" customFormat="1" ht="15.75">
      <c r="A189" s="52" t="s">
        <v>52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4"/>
      <c r="V189" s="34"/>
    </row>
  </sheetData>
  <mergeCells count="11">
    <mergeCell ref="A189:U189"/>
    <mergeCell ref="F2:H2"/>
    <mergeCell ref="F5:O5"/>
    <mergeCell ref="P5:S5"/>
    <mergeCell ref="F4:O4"/>
    <mergeCell ref="P4:T4"/>
    <mergeCell ref="A187:U188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73"/>
  <sheetViews>
    <sheetView workbookViewId="0">
      <pane xSplit="1" ySplit="6" topLeftCell="T61" activePane="bottomRight" state="frozen"/>
      <selection pane="topRight" activeCell="B1" sqref="B1"/>
      <selection pane="bottomLeft" activeCell="A7" sqref="A7"/>
      <selection pane="bottomRight" activeCell="V67" sqref="V67"/>
    </sheetView>
  </sheetViews>
  <sheetFormatPr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5" t="s">
        <v>51</v>
      </c>
      <c r="F2" s="55"/>
      <c r="G2" s="55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1638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16382" s="26" customFormat="1" ht="72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f t="shared" ref="E47:E49" si="8">+SUM(B47:D47)</f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f t="shared" ref="L47:L50" si="9">+SUM(F47:K47)</f>
        <v>1493251.9</v>
      </c>
      <c r="M47" s="30">
        <v>290474.60000000003</v>
      </c>
      <c r="N47" s="29">
        <v>56551.900000000009</v>
      </c>
      <c r="O47" s="31">
        <f t="shared" ref="O47:O65" si="10">+L47-M47-N47</f>
        <v>1146225.3999999999</v>
      </c>
      <c r="P47" s="36">
        <v>16032.599999999999</v>
      </c>
      <c r="Q47" s="31">
        <v>887426.7</v>
      </c>
      <c r="R47" s="31">
        <v>5422.5</v>
      </c>
      <c r="S47" s="29">
        <f t="shared" ref="S47:S49" si="11">SUM(P47:R47)</f>
        <v>908881.79999999993</v>
      </c>
      <c r="T47" s="33">
        <f t="shared" ref="T47:T65" si="12">SUM(O47,S47)</f>
        <v>2055107.1999999997</v>
      </c>
      <c r="U47" s="29">
        <f t="shared" ref="U47:U65" si="13">SUM(E47,T47)</f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f t="shared" si="8"/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f t="shared" si="9"/>
        <v>1641511.9</v>
      </c>
      <c r="M48" s="30">
        <v>398416.10000000003</v>
      </c>
      <c r="N48" s="29">
        <v>53521.5</v>
      </c>
      <c r="O48" s="31">
        <f t="shared" si="10"/>
        <v>1189574.2999999998</v>
      </c>
      <c r="P48" s="36">
        <v>24405.8</v>
      </c>
      <c r="Q48" s="31">
        <v>940441</v>
      </c>
      <c r="R48" s="31">
        <v>5533.2</v>
      </c>
      <c r="S48" s="29">
        <f t="shared" si="11"/>
        <v>970380</v>
      </c>
      <c r="T48" s="33">
        <f t="shared" si="12"/>
        <v>2159954.2999999998</v>
      </c>
      <c r="U48" s="29">
        <f t="shared" si="13"/>
        <v>1958698.5999999999</v>
      </c>
      <c r="V48" s="34"/>
    </row>
    <row r="49" spans="1:22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f t="shared" si="8"/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f t="shared" si="9"/>
        <v>1658161.8000000003</v>
      </c>
      <c r="M49" s="30">
        <v>353050.39999999997</v>
      </c>
      <c r="N49" s="29">
        <v>67423.399999999994</v>
      </c>
      <c r="O49" s="31">
        <f t="shared" si="10"/>
        <v>1237688.0000000005</v>
      </c>
      <c r="P49" s="36">
        <v>32676.399999999998</v>
      </c>
      <c r="Q49" s="31">
        <v>989136.8</v>
      </c>
      <c r="R49" s="31">
        <v>5747.6</v>
      </c>
      <c r="S49" s="29">
        <f t="shared" si="11"/>
        <v>1027560.8</v>
      </c>
      <c r="T49" s="33">
        <f t="shared" si="12"/>
        <v>2265248.8000000007</v>
      </c>
      <c r="U49" s="29">
        <f t="shared" si="13"/>
        <v>2047964.1000000006</v>
      </c>
      <c r="V49" s="34"/>
    </row>
    <row r="50" spans="1:22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f t="shared" ref="E50" si="14">+SUM(B50:D50)</f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f t="shared" si="9"/>
        <v>1763431.9</v>
      </c>
      <c r="M50" s="30">
        <v>353522.4</v>
      </c>
      <c r="N50" s="29">
        <v>72375.499999999985</v>
      </c>
      <c r="O50" s="31">
        <f t="shared" si="10"/>
        <v>1337534</v>
      </c>
      <c r="P50" s="36">
        <v>42063.6</v>
      </c>
      <c r="Q50" s="31">
        <v>983859.19999999995</v>
      </c>
      <c r="R50" s="31">
        <v>6028.8</v>
      </c>
      <c r="S50" s="29">
        <f t="shared" ref="S50" si="15">SUM(P50:R50)</f>
        <v>1031951.6</v>
      </c>
      <c r="T50" s="33">
        <f t="shared" si="12"/>
        <v>2369485.6</v>
      </c>
      <c r="U50" s="29">
        <f t="shared" si="13"/>
        <v>2166284.6</v>
      </c>
      <c r="V50" s="34"/>
    </row>
    <row r="51" spans="1:22" s="35" customFormat="1" ht="15.75">
      <c r="A51" s="47">
        <v>43555</v>
      </c>
      <c r="B51" s="30">
        <v>-166782.39999999999</v>
      </c>
      <c r="C51" s="30">
        <v>-62620.70000000007</v>
      </c>
      <c r="D51" s="30" t="s">
        <v>1</v>
      </c>
      <c r="E51" s="29">
        <f t="shared" ref="E51:E52" si="16">+SUM(B51:D51)</f>
        <v>-229403.10000000006</v>
      </c>
      <c r="F51" s="30">
        <v>221728.4</v>
      </c>
      <c r="G51" s="30">
        <f>74137.1+941488.5+22035.7</f>
        <v>1037661.2999999999</v>
      </c>
      <c r="H51" s="30"/>
      <c r="I51" s="30">
        <v>66134.8</v>
      </c>
      <c r="J51" s="30">
        <v>36225.9</v>
      </c>
      <c r="K51" s="30">
        <v>518306</v>
      </c>
      <c r="L51" s="31">
        <f t="shared" ref="L51:L52" si="17">+SUM(F51:K51)</f>
        <v>1880056.4</v>
      </c>
      <c r="M51" s="30">
        <v>412450</v>
      </c>
      <c r="N51" s="29">
        <v>58269.8</v>
      </c>
      <c r="O51" s="31">
        <f t="shared" si="10"/>
        <v>1409336.5999999999</v>
      </c>
      <c r="P51" s="36">
        <v>32296.6</v>
      </c>
      <c r="Q51" s="31">
        <v>1008148.3000000002</v>
      </c>
      <c r="R51" s="31">
        <v>6662.7</v>
      </c>
      <c r="S51" s="29">
        <f t="shared" ref="S51" si="18">SUM(P51:R51)</f>
        <v>1047107.6000000001</v>
      </c>
      <c r="T51" s="33">
        <f t="shared" si="12"/>
        <v>2456444.2000000002</v>
      </c>
      <c r="U51" s="29">
        <f t="shared" si="13"/>
        <v>2227041.1</v>
      </c>
    </row>
    <row r="52" spans="1:22" s="35" customFormat="1" ht="15.75">
      <c r="A52" s="47">
        <v>43646</v>
      </c>
      <c r="B52" s="30">
        <f>177153.1-298866.2</f>
        <v>-121713.1</v>
      </c>
      <c r="C52" s="30">
        <f>127120.2-199660</f>
        <v>-72539.8</v>
      </c>
      <c r="D52" s="30" t="s">
        <v>1</v>
      </c>
      <c r="E52" s="29">
        <f t="shared" si="16"/>
        <v>-194252.90000000002</v>
      </c>
      <c r="F52" s="30">
        <v>216009.2</v>
      </c>
      <c r="G52" s="30">
        <f>42174.9+1084518.3+16965</f>
        <v>1143658.2</v>
      </c>
      <c r="H52" s="30"/>
      <c r="I52" s="30">
        <v>59215</v>
      </c>
      <c r="J52" s="30">
        <v>32046</v>
      </c>
      <c r="K52" s="30">
        <v>514038.8</v>
      </c>
      <c r="L52" s="31">
        <f t="shared" si="17"/>
        <v>1964967.2</v>
      </c>
      <c r="M52" s="30">
        <v>427944.6</v>
      </c>
      <c r="N52" s="29">
        <v>62402.2</v>
      </c>
      <c r="O52" s="31">
        <f t="shared" si="10"/>
        <v>1474620.4000000001</v>
      </c>
      <c r="P52" s="36">
        <f>23367.3+101.6</f>
        <v>23468.899999999998</v>
      </c>
      <c r="Q52" s="31">
        <v>1073690.6000000001</v>
      </c>
      <c r="R52" s="31">
        <v>6546.1</v>
      </c>
      <c r="S52" s="29">
        <f t="shared" ref="S52" si="19">SUM(P52:R52)</f>
        <v>1103705.6000000001</v>
      </c>
      <c r="T52" s="33">
        <f t="shared" si="12"/>
        <v>2578326</v>
      </c>
      <c r="U52" s="29">
        <f t="shared" si="13"/>
        <v>2384073.1</v>
      </c>
    </row>
    <row r="53" spans="1:22" s="35" customFormat="1" ht="15.75">
      <c r="A53" s="47">
        <v>43738</v>
      </c>
      <c r="B53" s="30">
        <f>152229.3-295964.1</f>
        <v>-143734.79999999999</v>
      </c>
      <c r="C53" s="30">
        <f>139248.5-223096</f>
        <v>-83847.5</v>
      </c>
      <c r="D53" s="30" t="s">
        <v>1</v>
      </c>
      <c r="E53" s="29">
        <f t="shared" ref="E53:E58" si="20">+SUM(B53:D53)</f>
        <v>-227582.3</v>
      </c>
      <c r="F53" s="30">
        <v>0</v>
      </c>
      <c r="G53" s="30">
        <f>52783.1+1160384.5+28225</f>
        <v>1241392.6000000001</v>
      </c>
      <c r="H53" s="30"/>
      <c r="I53" s="30">
        <v>65322.7</v>
      </c>
      <c r="J53" s="30">
        <v>29259.4</v>
      </c>
      <c r="K53" s="30">
        <v>727629.7</v>
      </c>
      <c r="L53" s="31">
        <f t="shared" ref="L53:L58" si="21">+SUM(F53:K53)</f>
        <v>2063604.4</v>
      </c>
      <c r="M53" s="30">
        <v>478795.5</v>
      </c>
      <c r="N53" s="29">
        <v>82107.899999999994</v>
      </c>
      <c r="O53" s="31">
        <f t="shared" si="10"/>
        <v>1502701</v>
      </c>
      <c r="P53" s="36">
        <f>25516+101.6</f>
        <v>25617.599999999999</v>
      </c>
      <c r="Q53" s="31">
        <f>1098721+4652.3+44030.8</f>
        <v>1147404.1000000001</v>
      </c>
      <c r="R53" s="31">
        <v>6686.4</v>
      </c>
      <c r="S53" s="29">
        <f t="shared" ref="S53:S58" si="22">SUM(P53:R53)</f>
        <v>1179708.1000000001</v>
      </c>
      <c r="T53" s="33">
        <f t="shared" si="12"/>
        <v>2682409.1</v>
      </c>
      <c r="U53" s="29">
        <f t="shared" si="13"/>
        <v>2454826.8000000003</v>
      </c>
    </row>
    <row r="54" spans="1:22" s="35" customFormat="1" ht="15.75">
      <c r="A54" s="47">
        <v>43830</v>
      </c>
      <c r="B54" s="30">
        <v>-129390.7</v>
      </c>
      <c r="C54" s="30">
        <v>-76949.600000000006</v>
      </c>
      <c r="D54" s="30" t="s">
        <v>1</v>
      </c>
      <c r="E54" s="29">
        <f t="shared" si="20"/>
        <v>-206340.3</v>
      </c>
      <c r="F54" s="30">
        <v>0</v>
      </c>
      <c r="G54" s="30">
        <v>1341367.1000000001</v>
      </c>
      <c r="H54" s="30"/>
      <c r="I54" s="30">
        <v>70919.799999999988</v>
      </c>
      <c r="J54" s="30">
        <v>23686.2</v>
      </c>
      <c r="K54" s="30">
        <v>722793.2</v>
      </c>
      <c r="L54" s="31">
        <f t="shared" si="21"/>
        <v>2158766.2999999998</v>
      </c>
      <c r="M54" s="30">
        <v>443910.5</v>
      </c>
      <c r="N54" s="29">
        <v>95938.2</v>
      </c>
      <c r="O54" s="31">
        <f t="shared" si="10"/>
        <v>1618917.5999999999</v>
      </c>
      <c r="P54" s="36">
        <f>42076.6+101.6</f>
        <v>42178.2</v>
      </c>
      <c r="Q54" s="31">
        <v>1166031.0000000002</v>
      </c>
      <c r="R54" s="31">
        <v>458.5</v>
      </c>
      <c r="S54" s="29">
        <f t="shared" si="22"/>
        <v>1208667.7000000002</v>
      </c>
      <c r="T54" s="33">
        <f t="shared" si="12"/>
        <v>2827585.3</v>
      </c>
      <c r="U54" s="29">
        <f t="shared" si="13"/>
        <v>2621245</v>
      </c>
    </row>
    <row r="55" spans="1:22" s="35" customFormat="1" ht="15.75">
      <c r="A55" s="47">
        <v>43921</v>
      </c>
      <c r="B55" s="30">
        <f>194289.3-361308.8</f>
        <v>-167019.5</v>
      </c>
      <c r="C55" s="30">
        <f>143352.6-261170.6</f>
        <v>-117818</v>
      </c>
      <c r="D55" s="30" t="s">
        <v>1</v>
      </c>
      <c r="E55" s="29">
        <f t="shared" si="20"/>
        <v>-284837.5</v>
      </c>
      <c r="F55" s="30">
        <v>0</v>
      </c>
      <c r="G55" s="30">
        <v>1381408.1999999997</v>
      </c>
      <c r="H55" s="30"/>
      <c r="I55" s="30">
        <f>20393+103560.4</f>
        <v>123953.4</v>
      </c>
      <c r="J55" s="30">
        <v>19506.2</v>
      </c>
      <c r="K55" s="30">
        <v>719165.8</v>
      </c>
      <c r="L55" s="31">
        <f t="shared" si="21"/>
        <v>2244033.5999999996</v>
      </c>
      <c r="M55" s="30">
        <v>503862</v>
      </c>
      <c r="N55" s="29">
        <v>77027.199999999997</v>
      </c>
      <c r="O55" s="31">
        <f t="shared" si="10"/>
        <v>1663144.3999999997</v>
      </c>
      <c r="P55" s="36">
        <f>32138.3+101.6</f>
        <v>32239.899999999998</v>
      </c>
      <c r="Q55" s="31">
        <v>1212703.5999999999</v>
      </c>
      <c r="R55" s="31">
        <v>342.2</v>
      </c>
      <c r="S55" s="29">
        <f t="shared" si="22"/>
        <v>1245285.6999999997</v>
      </c>
      <c r="T55" s="33">
        <f t="shared" si="12"/>
        <v>2908430.0999999996</v>
      </c>
      <c r="U55" s="29">
        <f t="shared" si="13"/>
        <v>2623592.5999999996</v>
      </c>
    </row>
    <row r="56" spans="1:22" s="35" customFormat="1" ht="15.75">
      <c r="A56" s="47">
        <v>44012</v>
      </c>
      <c r="B56" s="30">
        <f>172739-357357.6</f>
        <v>-184618.59999999998</v>
      </c>
      <c r="C56" s="30">
        <f>128564.4-277077.4</f>
        <v>-148513.00000000003</v>
      </c>
      <c r="D56" s="30" t="s">
        <v>1</v>
      </c>
      <c r="E56" s="29">
        <f t="shared" si="20"/>
        <v>-333131.59999999998</v>
      </c>
      <c r="F56" s="30">
        <v>0</v>
      </c>
      <c r="G56" s="30">
        <v>1468858.5</v>
      </c>
      <c r="H56" s="30"/>
      <c r="I56" s="30">
        <f>16243.7+98487+5357.5</f>
        <v>120088.2</v>
      </c>
      <c r="J56" s="30">
        <v>15326.3</v>
      </c>
      <c r="K56" s="30">
        <v>715538.4</v>
      </c>
      <c r="L56" s="31">
        <f t="shared" si="21"/>
        <v>2319811.4</v>
      </c>
      <c r="M56" s="30">
        <v>441278.2</v>
      </c>
      <c r="N56" s="29">
        <v>86594.1</v>
      </c>
      <c r="O56" s="31">
        <f t="shared" si="10"/>
        <v>1791939.0999999999</v>
      </c>
      <c r="P56" s="36">
        <f>29576.4+101.6</f>
        <v>29678</v>
      </c>
      <c r="Q56" s="31">
        <v>1283209.7000000002</v>
      </c>
      <c r="R56" s="31">
        <v>328.2</v>
      </c>
      <c r="S56" s="29">
        <f t="shared" si="22"/>
        <v>1313215.9000000001</v>
      </c>
      <c r="T56" s="33">
        <f t="shared" si="12"/>
        <v>3105155</v>
      </c>
      <c r="U56" s="29">
        <f t="shared" si="13"/>
        <v>2772023.4</v>
      </c>
    </row>
    <row r="57" spans="1:22" s="35" customFormat="1" ht="15.75">
      <c r="A57" s="47">
        <v>44104</v>
      </c>
      <c r="B57" s="30">
        <v>-151024.20000000001</v>
      </c>
      <c r="C57" s="30">
        <v>-128888.4</v>
      </c>
      <c r="D57" s="30" t="s">
        <v>1</v>
      </c>
      <c r="E57" s="29">
        <f t="shared" si="20"/>
        <v>-279912.59999999998</v>
      </c>
      <c r="F57" s="30">
        <v>0</v>
      </c>
      <c r="G57" s="30">
        <v>1539157.4000000001</v>
      </c>
      <c r="H57" s="30"/>
      <c r="I57" s="30">
        <f>19611.4+25822.8+124981.5+150000</f>
        <v>320415.7</v>
      </c>
      <c r="J57" s="30">
        <v>12539.7</v>
      </c>
      <c r="K57" s="30">
        <v>713120.2</v>
      </c>
      <c r="L57" s="31">
        <f t="shared" si="21"/>
        <v>2585233</v>
      </c>
      <c r="M57" s="30">
        <v>485147.2</v>
      </c>
      <c r="N57" s="29">
        <v>76753.3</v>
      </c>
      <c r="O57" s="31">
        <f t="shared" si="10"/>
        <v>2023332.4999999998</v>
      </c>
      <c r="P57" s="36">
        <f>30626.8+101.6</f>
        <v>30728.399999999998</v>
      </c>
      <c r="Q57" s="31">
        <v>1360697.4</v>
      </c>
      <c r="R57" s="31">
        <v>311</v>
      </c>
      <c r="S57" s="29">
        <f t="shared" si="22"/>
        <v>1391736.7999999998</v>
      </c>
      <c r="T57" s="33">
        <f t="shared" si="12"/>
        <v>3415069.3</v>
      </c>
      <c r="U57" s="29">
        <f t="shared" si="13"/>
        <v>3135156.6999999997</v>
      </c>
    </row>
    <row r="58" spans="1:22" s="35" customFormat="1" ht="15.75">
      <c r="A58" s="47">
        <v>44196</v>
      </c>
      <c r="B58" s="30">
        <v>-93105.300000000017</v>
      </c>
      <c r="C58" s="30">
        <v>-111910.80000000002</v>
      </c>
      <c r="D58" s="30" t="s">
        <v>1</v>
      </c>
      <c r="E58" s="29">
        <f t="shared" si="20"/>
        <v>-205016.10000000003</v>
      </c>
      <c r="F58" s="30">
        <v>0</v>
      </c>
      <c r="G58" s="30">
        <v>1614167.6</v>
      </c>
      <c r="H58" s="30"/>
      <c r="I58" s="30">
        <f>18210.4+27463+120782.7+150000+2000</f>
        <v>318456.09999999998</v>
      </c>
      <c r="J58" s="30">
        <v>6921.2</v>
      </c>
      <c r="K58" s="30">
        <v>708283.6</v>
      </c>
      <c r="L58" s="31">
        <f t="shared" si="21"/>
        <v>2647828.5</v>
      </c>
      <c r="M58" s="30">
        <v>548984.21651699999</v>
      </c>
      <c r="N58" s="29">
        <v>72918.899999999994</v>
      </c>
      <c r="O58" s="31">
        <f t="shared" si="10"/>
        <v>2025925.3834830001</v>
      </c>
      <c r="P58" s="36">
        <f>22343.7+101.6</f>
        <v>22445.3</v>
      </c>
      <c r="Q58" s="31">
        <v>1433932.7</v>
      </c>
      <c r="R58" s="31">
        <v>1185.1999999999998</v>
      </c>
      <c r="S58" s="29">
        <f t="shared" si="22"/>
        <v>1457563.2</v>
      </c>
      <c r="T58" s="33">
        <f t="shared" si="12"/>
        <v>3483488.5834830003</v>
      </c>
      <c r="U58" s="29">
        <f t="shared" si="13"/>
        <v>3278472.4834830002</v>
      </c>
    </row>
    <row r="59" spans="1:22" s="35" customFormat="1" ht="15.75">
      <c r="A59" s="47">
        <v>44286</v>
      </c>
      <c r="B59" s="30">
        <f>212738-331861.9</f>
        <v>-119123.90000000002</v>
      </c>
      <c r="C59" s="30">
        <f>210185.7-318779.1</f>
        <v>-108593.39999999997</v>
      </c>
      <c r="D59" s="30">
        <v>-81.7</v>
      </c>
      <c r="E59" s="29">
        <f t="shared" ref="E59:E60" si="23">+SUM(B59:D59)</f>
        <v>-227799</v>
      </c>
      <c r="F59" s="30">
        <v>0</v>
      </c>
      <c r="G59" s="30">
        <f>126464+1443480.7+78836.6</f>
        <v>1648781.3</v>
      </c>
      <c r="H59" s="30"/>
      <c r="I59" s="30">
        <f>28954.5+0+143124.3+150000+2000+4668.9</f>
        <v>328747.7</v>
      </c>
      <c r="J59" s="30">
        <v>4134.6000000000004</v>
      </c>
      <c r="K59" s="30">
        <v>703262.9</v>
      </c>
      <c r="L59" s="31">
        <f t="shared" ref="L59:L60" si="24">+SUM(F59:K59)</f>
        <v>2684926.5</v>
      </c>
      <c r="M59" s="30">
        <v>570127</v>
      </c>
      <c r="N59" s="29">
        <v>79893.7</v>
      </c>
      <c r="O59" s="31">
        <f t="shared" si="10"/>
        <v>2034905.8</v>
      </c>
      <c r="P59" s="36">
        <f>24586.6+101.6</f>
        <v>24688.199999999997</v>
      </c>
      <c r="Q59" s="31">
        <f>1453439.1+58063.3+81715.2</f>
        <v>1593217.6</v>
      </c>
      <c r="R59" s="31">
        <v>734.60000000000014</v>
      </c>
      <c r="S59" s="29">
        <f t="shared" ref="S59:S60" si="25">SUM(P59:R59)</f>
        <v>1618640.4000000001</v>
      </c>
      <c r="T59" s="33">
        <f t="shared" si="12"/>
        <v>3653546.2</v>
      </c>
      <c r="U59" s="29">
        <f t="shared" si="13"/>
        <v>3425747.2</v>
      </c>
    </row>
    <row r="60" spans="1:22" s="35" customFormat="1" ht="15.75">
      <c r="A60" s="47">
        <v>44377</v>
      </c>
      <c r="B60" s="30">
        <f>191742.9-306331.3</f>
        <v>-114588.4</v>
      </c>
      <c r="C60" s="30">
        <f>174837.1-365639.5</f>
        <v>-190802.4</v>
      </c>
      <c r="D60" s="30">
        <v>-118</v>
      </c>
      <c r="E60" s="29">
        <f t="shared" si="23"/>
        <v>-305508.8</v>
      </c>
      <c r="F60" s="30">
        <v>57076.7</v>
      </c>
      <c r="G60" s="30">
        <f>148924+1476613.7+93689.9</f>
        <v>1719227.5999999999</v>
      </c>
      <c r="H60" s="30"/>
      <c r="I60" s="30">
        <f>21693+127108.3+0+150000+11960.4+4668.9+29176.1+3728.9</f>
        <v>348335.60000000003</v>
      </c>
      <c r="J60" s="30">
        <v>0</v>
      </c>
      <c r="K60" s="30">
        <v>701028.8</v>
      </c>
      <c r="L60" s="31">
        <f t="shared" si="24"/>
        <v>2825668.7</v>
      </c>
      <c r="M60" s="30">
        <v>625806.5</v>
      </c>
      <c r="N60" s="29">
        <v>82601.5</v>
      </c>
      <c r="O60" s="31">
        <f t="shared" si="10"/>
        <v>2117260.7000000002</v>
      </c>
      <c r="P60" s="36">
        <f>26127+101.6</f>
        <v>26228.6</v>
      </c>
      <c r="Q60" s="31">
        <f>1654571.7+122479.4+58624.3</f>
        <v>1835675.4</v>
      </c>
      <c r="R60" s="31">
        <v>5539.4</v>
      </c>
      <c r="S60" s="29">
        <f t="shared" si="25"/>
        <v>1867443.4</v>
      </c>
      <c r="T60" s="33">
        <f t="shared" si="12"/>
        <v>3984704.1</v>
      </c>
      <c r="U60" s="29">
        <f t="shared" si="13"/>
        <v>3679195.3000000003</v>
      </c>
    </row>
    <row r="61" spans="1:22" s="35" customFormat="1" ht="15.75">
      <c r="A61" s="47">
        <v>44104</v>
      </c>
      <c r="B61" s="30">
        <v>-151024.20000000001</v>
      </c>
      <c r="C61" s="30">
        <v>-128888.4</v>
      </c>
      <c r="D61" s="30" t="s">
        <v>1</v>
      </c>
      <c r="E61" s="29">
        <f t="shared" ref="E61" si="26">+SUM(B61:D61)</f>
        <v>-279912.59999999998</v>
      </c>
      <c r="F61" s="30">
        <v>0</v>
      </c>
      <c r="G61" s="30">
        <v>1539157.4000000001</v>
      </c>
      <c r="H61" s="30"/>
      <c r="I61" s="30">
        <f>19611.4+25822.8+124981.5+150000</f>
        <v>320415.7</v>
      </c>
      <c r="J61" s="30">
        <v>12539.7</v>
      </c>
      <c r="K61" s="30">
        <v>713120.2</v>
      </c>
      <c r="L61" s="31">
        <f t="shared" ref="L61" si="27">+SUM(F61:K61)</f>
        <v>2585233</v>
      </c>
      <c r="M61" s="30">
        <v>485147.2</v>
      </c>
      <c r="N61" s="29">
        <v>76753.3</v>
      </c>
      <c r="O61" s="31">
        <f t="shared" si="10"/>
        <v>2023332.4999999998</v>
      </c>
      <c r="P61" s="36">
        <f>30626.8+101.6</f>
        <v>30728.399999999998</v>
      </c>
      <c r="Q61" s="31">
        <v>1349647.4</v>
      </c>
      <c r="R61" s="31">
        <v>311</v>
      </c>
      <c r="S61" s="29">
        <f t="shared" ref="S61" si="28">SUM(P61:R61)</f>
        <v>1380686.7999999998</v>
      </c>
      <c r="T61" s="33">
        <f t="shared" si="12"/>
        <v>3404019.3</v>
      </c>
      <c r="U61" s="29">
        <f t="shared" si="13"/>
        <v>3124106.6999999997</v>
      </c>
    </row>
    <row r="62" spans="1:22" s="35" customFormat="1" ht="15.75">
      <c r="A62" s="47">
        <v>44196</v>
      </c>
      <c r="B62" s="30">
        <v>-93105.300000000017</v>
      </c>
      <c r="C62" s="30">
        <v>-111910.80000000002</v>
      </c>
      <c r="D62" s="30" t="s">
        <v>1</v>
      </c>
      <c r="E62" s="29">
        <f t="shared" ref="E62" si="29">+SUM(B62:D62)</f>
        <v>-205016.10000000003</v>
      </c>
      <c r="F62" s="30">
        <v>0</v>
      </c>
      <c r="G62" s="30">
        <v>1614167.6</v>
      </c>
      <c r="H62" s="30"/>
      <c r="I62" s="30">
        <f>18210.4+27463+120782.7+150000+2000</f>
        <v>318456.09999999998</v>
      </c>
      <c r="J62" s="30">
        <v>6921.2</v>
      </c>
      <c r="K62" s="30">
        <v>708283.6</v>
      </c>
      <c r="L62" s="31">
        <f t="shared" ref="L62" si="30">+SUM(F62:K62)</f>
        <v>2647828.5</v>
      </c>
      <c r="M62" s="30">
        <v>549158.91651699995</v>
      </c>
      <c r="N62" s="29">
        <v>72918.899999999994</v>
      </c>
      <c r="O62" s="31">
        <f t="shared" si="10"/>
        <v>2025750.6834830004</v>
      </c>
      <c r="P62" s="36">
        <f>22343.7+101.6</f>
        <v>22445.3</v>
      </c>
      <c r="Q62" s="31">
        <v>1413651.5</v>
      </c>
      <c r="R62" s="31">
        <v>1185.1999999999998</v>
      </c>
      <c r="S62" s="29">
        <f t="shared" ref="S62:S63" si="31">SUM(P62:R62)</f>
        <v>1437282</v>
      </c>
      <c r="T62" s="33">
        <f t="shared" si="12"/>
        <v>3463032.6834830004</v>
      </c>
      <c r="U62" s="29">
        <f t="shared" si="13"/>
        <v>3258016.5834830003</v>
      </c>
    </row>
    <row r="63" spans="1:22" s="35" customFormat="1" ht="15.75">
      <c r="A63" s="47">
        <v>44286</v>
      </c>
      <c r="B63" s="30">
        <v>-119123.90000000002</v>
      </c>
      <c r="C63" s="30">
        <v>-108593.39999999997</v>
      </c>
      <c r="D63" s="30">
        <v>-81.7</v>
      </c>
      <c r="E63" s="29">
        <v>-227799</v>
      </c>
      <c r="F63" s="30">
        <v>0</v>
      </c>
      <c r="G63" s="30">
        <v>1648781.3</v>
      </c>
      <c r="H63" s="30"/>
      <c r="I63" s="30">
        <v>328747.7</v>
      </c>
      <c r="J63" s="30">
        <v>4134.6000000000004</v>
      </c>
      <c r="K63" s="30">
        <v>703262.9</v>
      </c>
      <c r="L63" s="31">
        <v>2684926.5</v>
      </c>
      <c r="M63" s="30">
        <v>570127</v>
      </c>
      <c r="N63" s="29">
        <v>79893.7</v>
      </c>
      <c r="O63" s="31">
        <v>2034905.8</v>
      </c>
      <c r="P63" s="36">
        <v>24688.199999999997</v>
      </c>
      <c r="Q63" s="31">
        <v>1524807.0000000002</v>
      </c>
      <c r="R63" s="31">
        <v>734.60000000000014</v>
      </c>
      <c r="S63" s="29">
        <v>1550229.8000000003</v>
      </c>
      <c r="T63" s="33">
        <v>3585135.6000000006</v>
      </c>
      <c r="U63" s="29">
        <v>3357336.6000000006</v>
      </c>
    </row>
    <row r="64" spans="1:22" s="35" customFormat="1" ht="15.75">
      <c r="A64" s="47">
        <v>44377</v>
      </c>
      <c r="B64" s="30">
        <v>-114588.4</v>
      </c>
      <c r="C64" s="30">
        <v>-190802.4</v>
      </c>
      <c r="D64" s="30">
        <v>-118</v>
      </c>
      <c r="E64" s="29">
        <v>-305508.8</v>
      </c>
      <c r="F64" s="30">
        <v>57076.7</v>
      </c>
      <c r="G64" s="30">
        <v>1719227.5999999999</v>
      </c>
      <c r="H64" s="30"/>
      <c r="I64" s="30">
        <v>347225.00000000006</v>
      </c>
      <c r="J64" s="30">
        <v>0</v>
      </c>
      <c r="K64" s="30">
        <v>701028.8</v>
      </c>
      <c r="L64" s="31">
        <v>2824558.0999999996</v>
      </c>
      <c r="M64" s="30">
        <v>625806.5</v>
      </c>
      <c r="N64" s="29">
        <v>82601.5</v>
      </c>
      <c r="O64" s="31">
        <v>2116150.0999999996</v>
      </c>
      <c r="P64" s="36">
        <v>26228.6</v>
      </c>
      <c r="Q64" s="31">
        <v>1724195.7</v>
      </c>
      <c r="R64" s="31">
        <v>5539.4</v>
      </c>
      <c r="S64" s="29">
        <v>1755963.7</v>
      </c>
      <c r="T64" s="33">
        <v>3872113.8</v>
      </c>
      <c r="U64" s="29">
        <v>3566605</v>
      </c>
    </row>
    <row r="65" spans="1:23" s="35" customFormat="1" ht="15.75">
      <c r="A65" s="47">
        <v>44469</v>
      </c>
      <c r="B65" s="30">
        <v>-150538.59999999998</v>
      </c>
      <c r="C65" s="30">
        <v>-254415.30000000002</v>
      </c>
      <c r="D65" s="30">
        <v>-210</v>
      </c>
      <c r="E65" s="29">
        <v>-405163.9</v>
      </c>
      <c r="F65" s="30">
        <v>0</v>
      </c>
      <c r="G65" s="30">
        <v>1831324.1</v>
      </c>
      <c r="H65" s="30"/>
      <c r="I65" s="30">
        <v>347172.2</v>
      </c>
      <c r="J65" s="30">
        <v>0</v>
      </c>
      <c r="K65" s="30">
        <v>697339.3</v>
      </c>
      <c r="L65" s="31">
        <v>2875835.6000000006</v>
      </c>
      <c r="M65" s="30">
        <v>651228.69999999995</v>
      </c>
      <c r="N65" s="29">
        <v>81058.8</v>
      </c>
      <c r="O65" s="31">
        <v>2143548.1000000006</v>
      </c>
      <c r="P65" s="36">
        <v>25714.199999999997</v>
      </c>
      <c r="Q65" s="31">
        <v>2139925.6</v>
      </c>
      <c r="R65" s="31">
        <v>337.9</v>
      </c>
      <c r="S65" s="29">
        <v>2165977.7000000002</v>
      </c>
      <c r="T65" s="33">
        <v>4309525.8000000007</v>
      </c>
      <c r="U65" s="29">
        <v>3904361.9000000008</v>
      </c>
    </row>
    <row r="66" spans="1:23" s="35" customFormat="1" ht="15.75">
      <c r="A66" s="47">
        <v>44561</v>
      </c>
      <c r="B66" s="30">
        <v>-141348.09999999998</v>
      </c>
      <c r="C66" s="30">
        <v>-181042.40000000002</v>
      </c>
      <c r="D66" s="30">
        <v>0</v>
      </c>
      <c r="E66" s="29">
        <v>-322390.5</v>
      </c>
      <c r="F66" s="30">
        <v>36124.9</v>
      </c>
      <c r="G66" s="30">
        <v>1816057.7</v>
      </c>
      <c r="H66" s="30"/>
      <c r="I66" s="30">
        <v>290056.7</v>
      </c>
      <c r="J66" s="30">
        <v>0</v>
      </c>
      <c r="K66" s="30">
        <v>690961.7</v>
      </c>
      <c r="L66" s="31">
        <v>2833201</v>
      </c>
      <c r="M66" s="30">
        <v>826676.3</v>
      </c>
      <c r="N66" s="29">
        <v>75800.899999999994</v>
      </c>
      <c r="O66" s="31">
        <v>1930723.8</v>
      </c>
      <c r="P66" s="36">
        <v>25121</v>
      </c>
      <c r="Q66" s="31">
        <v>2351893.4000000004</v>
      </c>
      <c r="R66" s="31">
        <v>256.5</v>
      </c>
      <c r="S66" s="29">
        <v>2377270.9000000004</v>
      </c>
      <c r="T66" s="33">
        <v>4307994.7</v>
      </c>
      <c r="U66" s="29">
        <v>3985604.2</v>
      </c>
    </row>
    <row r="67" spans="1:23" s="51" customFormat="1" ht="18">
      <c r="A67" s="47" t="s">
        <v>62</v>
      </c>
      <c r="B67" s="30">
        <v>-113493.90000000002</v>
      </c>
      <c r="C67" s="30">
        <v>-194680.9</v>
      </c>
      <c r="D67" s="30">
        <v>0</v>
      </c>
      <c r="E67" s="29">
        <v>-308174.80000000005</v>
      </c>
      <c r="F67" s="30">
        <v>32028.5</v>
      </c>
      <c r="G67" s="30">
        <v>1833166.5</v>
      </c>
      <c r="H67" s="30"/>
      <c r="I67" s="30">
        <v>434429.8</v>
      </c>
      <c r="J67" s="30">
        <v>0</v>
      </c>
      <c r="K67" s="30">
        <v>690433.4</v>
      </c>
      <c r="L67" s="29">
        <v>2990058.1999999997</v>
      </c>
      <c r="M67" s="30">
        <v>950524.7</v>
      </c>
      <c r="N67" s="29">
        <v>118394.9</v>
      </c>
      <c r="O67" s="29">
        <v>1921138.5999999999</v>
      </c>
      <c r="P67" s="50">
        <v>24010.399999999998</v>
      </c>
      <c r="Q67" s="29">
        <v>2537532.2000000002</v>
      </c>
      <c r="R67" s="29">
        <v>238.4</v>
      </c>
      <c r="S67" s="29">
        <v>2561781</v>
      </c>
      <c r="T67" s="33">
        <v>4482919.5999999996</v>
      </c>
      <c r="U67" s="29">
        <v>4174744.8</v>
      </c>
    </row>
    <row r="68" spans="1:23" s="51" customFormat="1" ht="18">
      <c r="A68" s="47" t="s">
        <v>65</v>
      </c>
      <c r="B68" s="30">
        <v>-232158.59999999998</v>
      </c>
      <c r="C68" s="30">
        <v>-190483.3</v>
      </c>
      <c r="D68" s="30">
        <v>0</v>
      </c>
      <c r="E68" s="29">
        <v>-422641.89999999997</v>
      </c>
      <c r="F68" s="30">
        <v>266435.90000000002</v>
      </c>
      <c r="G68" s="30">
        <v>1777341.7</v>
      </c>
      <c r="H68" s="30"/>
      <c r="I68" s="30">
        <v>527359.1</v>
      </c>
      <c r="J68" s="30">
        <v>0</v>
      </c>
      <c r="K68" s="30">
        <v>686729.1</v>
      </c>
      <c r="L68" s="29">
        <v>3257865.8000000003</v>
      </c>
      <c r="M68" s="30">
        <v>905722.6</v>
      </c>
      <c r="N68" s="29">
        <v>120078.3</v>
      </c>
      <c r="O68" s="29">
        <v>2232064.9000000004</v>
      </c>
      <c r="P68" s="50">
        <v>24195.1</v>
      </c>
      <c r="Q68" s="29">
        <v>2883093.9</v>
      </c>
      <c r="R68" s="29">
        <v>6839.5000000000009</v>
      </c>
      <c r="S68" s="29">
        <v>2914128.5</v>
      </c>
      <c r="T68" s="33">
        <v>5146193.4000000004</v>
      </c>
      <c r="U68" s="29">
        <v>4723551.5</v>
      </c>
    </row>
    <row r="69" spans="1:23" s="51" customFormat="1" ht="18">
      <c r="A69" s="47" t="s">
        <v>68</v>
      </c>
      <c r="B69" s="30">
        <v>-252190.40000000002</v>
      </c>
      <c r="C69" s="30">
        <v>-326773.39999999997</v>
      </c>
      <c r="D69" s="30">
        <v>0</v>
      </c>
      <c r="E69" s="29">
        <v>-578963.80000000005</v>
      </c>
      <c r="F69" s="30">
        <v>82611.8</v>
      </c>
      <c r="G69" s="30">
        <v>1832259.9</v>
      </c>
      <c r="H69" s="30"/>
      <c r="I69" s="30">
        <v>818451.99999999988</v>
      </c>
      <c r="J69" s="30">
        <v>0</v>
      </c>
      <c r="K69" s="30">
        <v>956869.3</v>
      </c>
      <c r="L69" s="29">
        <v>3690193</v>
      </c>
      <c r="M69" s="30">
        <v>1028635.6</v>
      </c>
      <c r="N69" s="29">
        <v>122476.3</v>
      </c>
      <c r="O69" s="29">
        <v>2539081.1</v>
      </c>
      <c r="P69" s="50">
        <v>24189.1</v>
      </c>
      <c r="Q69" s="29">
        <v>3202697.6999999997</v>
      </c>
      <c r="R69" s="29">
        <v>829.2</v>
      </c>
      <c r="S69" s="29">
        <v>3227716</v>
      </c>
      <c r="T69" s="33">
        <v>5766797.0999999996</v>
      </c>
      <c r="U69" s="29">
        <v>5187833.3</v>
      </c>
    </row>
    <row r="70" spans="1:23" s="51" customFormat="1" ht="18">
      <c r="A70" s="47" t="s">
        <v>73</v>
      </c>
      <c r="B70" s="30">
        <v>-252046.90000000002</v>
      </c>
      <c r="C70" s="30">
        <v>-309522.09999999998</v>
      </c>
      <c r="D70" s="30">
        <v>0</v>
      </c>
      <c r="E70" s="29">
        <v>-561569</v>
      </c>
      <c r="F70" s="30">
        <v>3346.5</v>
      </c>
      <c r="G70" s="30">
        <v>1994536.9</v>
      </c>
      <c r="H70" s="30"/>
      <c r="I70" s="30">
        <v>874563.6</v>
      </c>
      <c r="J70" s="30">
        <v>0</v>
      </c>
      <c r="K70" s="30">
        <v>941229</v>
      </c>
      <c r="L70" s="29">
        <v>3813676</v>
      </c>
      <c r="M70" s="30">
        <v>1150066.7</v>
      </c>
      <c r="N70" s="29">
        <v>128898.4</v>
      </c>
      <c r="O70" s="29">
        <v>2534710.9</v>
      </c>
      <c r="P70" s="50">
        <v>23746.799999999999</v>
      </c>
      <c r="Q70" s="29">
        <v>3333011.8</v>
      </c>
      <c r="R70" s="29">
        <v>167.9</v>
      </c>
      <c r="S70" s="29">
        <v>3356926.4999999995</v>
      </c>
      <c r="T70" s="33">
        <v>5891637.3999999994</v>
      </c>
      <c r="U70" s="29">
        <v>5330068.3999999994</v>
      </c>
    </row>
    <row r="71" spans="1:23" s="48" customFormat="1" ht="19.5">
      <c r="A71" s="59" t="s">
        <v>54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1"/>
      <c r="W71" s="49"/>
    </row>
    <row r="72" spans="1:23" s="35" customFormat="1" ht="15.75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4"/>
      <c r="V72" s="34"/>
    </row>
    <row r="73" spans="1:23" s="35" customFormat="1" ht="15.75">
      <c r="A73" s="52" t="s">
        <v>52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34"/>
    </row>
  </sheetData>
  <mergeCells count="11">
    <mergeCell ref="E2:G2"/>
    <mergeCell ref="A73:U73"/>
    <mergeCell ref="A4:A6"/>
    <mergeCell ref="B4:E5"/>
    <mergeCell ref="F4:O4"/>
    <mergeCell ref="P4:T4"/>
    <mergeCell ref="A71:U72"/>
    <mergeCell ref="U4:U6"/>
    <mergeCell ref="F5:O5"/>
    <mergeCell ref="P5:S5"/>
    <mergeCell ref="T5:T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8"/>
  <sheetViews>
    <sheetView tabSelected="1" workbookViewId="0">
      <pane xSplit="1" ySplit="6" topLeftCell="S13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5" t="s">
        <v>51</v>
      </c>
      <c r="F2" s="55"/>
      <c r="G2" s="55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2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22" s="26" customFormat="1" ht="90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5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5" si="1">SUM(F7:K7)</f>
        <v>238904.4</v>
      </c>
      <c r="M7" s="32">
        <v>125831.59999999999</v>
      </c>
      <c r="N7" s="29">
        <v>11736.2</v>
      </c>
      <c r="O7" s="31">
        <f t="shared" ref="O7:O15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5" si="3">SUM(P7:R7)</f>
        <v>283797.5</v>
      </c>
      <c r="T7" s="33">
        <f t="shared" ref="T7:T15" si="4">S7+O7</f>
        <v>385134.1</v>
      </c>
      <c r="U7" s="29">
        <f t="shared" ref="U7:U15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19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5.75">
      <c r="A18" s="45">
        <v>2019</v>
      </c>
      <c r="B18" s="30">
        <v>-129390.7</v>
      </c>
      <c r="C18" s="30">
        <v>-76949.600000000006</v>
      </c>
      <c r="D18" s="30" t="s">
        <v>1</v>
      </c>
      <c r="E18" s="29">
        <f t="shared" ref="E18" si="12">+SUM(B18:D18)</f>
        <v>-206340.3</v>
      </c>
      <c r="F18" s="30">
        <v>0</v>
      </c>
      <c r="G18" s="30">
        <v>1341367.1000000001</v>
      </c>
      <c r="H18" s="30"/>
      <c r="I18" s="30">
        <v>70919.799999999988</v>
      </c>
      <c r="J18" s="30">
        <v>23686.2</v>
      </c>
      <c r="K18" s="30">
        <v>722793.2</v>
      </c>
      <c r="L18" s="31">
        <f t="shared" ref="L18" si="13">+SUM(F18:K18)</f>
        <v>2158766.2999999998</v>
      </c>
      <c r="M18" s="30">
        <v>443910.5</v>
      </c>
      <c r="N18" s="29">
        <v>95938.2</v>
      </c>
      <c r="O18" s="31">
        <f t="shared" si="8"/>
        <v>1618917.5999999999</v>
      </c>
      <c r="P18" s="36">
        <f>42076.6+101.6</f>
        <v>42178.2</v>
      </c>
      <c r="Q18" s="31">
        <v>1166031.0000000002</v>
      </c>
      <c r="R18" s="31">
        <v>458.5</v>
      </c>
      <c r="S18" s="29">
        <f t="shared" ref="S18" si="14">SUM(P18:R18)</f>
        <v>1208667.7000000002</v>
      </c>
      <c r="T18" s="33">
        <f t="shared" ref="T18:T19" si="15">SUM(O18,S18)</f>
        <v>2827585.3</v>
      </c>
      <c r="U18" s="29">
        <f t="shared" ref="U18:U19" si="16">SUM(E18,T18)</f>
        <v>2621245</v>
      </c>
    </row>
    <row r="19" spans="1:22" s="35" customFormat="1" ht="15.75">
      <c r="A19" s="45">
        <v>2020</v>
      </c>
      <c r="B19" s="30">
        <v>-93105.300000000017</v>
      </c>
      <c r="C19" s="30">
        <v>-111910.80000000002</v>
      </c>
      <c r="D19" s="30" t="s">
        <v>1</v>
      </c>
      <c r="E19" s="29">
        <f t="shared" ref="E19" si="17">+SUM(B19:D19)</f>
        <v>-205016.10000000003</v>
      </c>
      <c r="F19" s="30">
        <v>0</v>
      </c>
      <c r="G19" s="30">
        <v>1614167.6</v>
      </c>
      <c r="H19" s="30"/>
      <c r="I19" s="30">
        <f>18210.4+27463+120782.7+150000+2000</f>
        <v>318456.09999999998</v>
      </c>
      <c r="J19" s="30">
        <v>6921.2</v>
      </c>
      <c r="K19" s="30">
        <v>708283.6</v>
      </c>
      <c r="L19" s="31">
        <f t="shared" ref="L19" si="18">+SUM(F19:K19)</f>
        <v>2647828.5</v>
      </c>
      <c r="M19" s="30">
        <v>549158.91651699995</v>
      </c>
      <c r="N19" s="29">
        <v>72918.899999999994</v>
      </c>
      <c r="O19" s="31">
        <f t="shared" si="8"/>
        <v>2025750.6834830004</v>
      </c>
      <c r="P19" s="36">
        <f>22343.7+101.6</f>
        <v>22445.3</v>
      </c>
      <c r="Q19" s="31">
        <v>1413651.5</v>
      </c>
      <c r="R19" s="31">
        <v>1185.1999999999998</v>
      </c>
      <c r="S19" s="29">
        <f t="shared" ref="S19" si="19">SUM(P19:R19)</f>
        <v>1437282</v>
      </c>
      <c r="T19" s="33">
        <f t="shared" si="15"/>
        <v>3463032.6834830004</v>
      </c>
      <c r="U19" s="29">
        <f t="shared" si="16"/>
        <v>3258016.5834830003</v>
      </c>
    </row>
    <row r="20" spans="1:22" s="35" customFormat="1" ht="15.75">
      <c r="A20" s="45" t="s">
        <v>58</v>
      </c>
      <c r="B20" s="30">
        <v>-141348.09999999998</v>
      </c>
      <c r="C20" s="30">
        <v>-181042.40000000002</v>
      </c>
      <c r="D20" s="30">
        <v>0</v>
      </c>
      <c r="E20" s="29">
        <v>-322390.5</v>
      </c>
      <c r="F20" s="30">
        <v>36124.9</v>
      </c>
      <c r="G20" s="30">
        <v>1816057.7</v>
      </c>
      <c r="H20" s="30"/>
      <c r="I20" s="30">
        <v>290056.7</v>
      </c>
      <c r="J20" s="30">
        <v>0</v>
      </c>
      <c r="K20" s="30">
        <v>690961.7</v>
      </c>
      <c r="L20" s="31">
        <v>2833201</v>
      </c>
      <c r="M20" s="30">
        <v>826676.3</v>
      </c>
      <c r="N20" s="29">
        <v>75800.899999999994</v>
      </c>
      <c r="O20" s="31">
        <v>1930723.8</v>
      </c>
      <c r="P20" s="36">
        <v>25121</v>
      </c>
      <c r="Q20" s="31">
        <v>2351893.4000000004</v>
      </c>
      <c r="R20" s="31">
        <v>256.5</v>
      </c>
      <c r="S20" s="29">
        <v>2377270.9000000004</v>
      </c>
      <c r="T20" s="33">
        <v>4307994.7</v>
      </c>
      <c r="U20" s="29">
        <v>3985604.2</v>
      </c>
    </row>
    <row r="21" spans="1:22" s="35" customFormat="1" ht="15.75">
      <c r="A21" s="45" t="s">
        <v>72</v>
      </c>
      <c r="B21" s="30">
        <v>-252046.90000000002</v>
      </c>
      <c r="C21" s="30">
        <v>-309522.09999999998</v>
      </c>
      <c r="D21" s="30">
        <v>0</v>
      </c>
      <c r="E21" s="29">
        <v>-561569</v>
      </c>
      <c r="F21" s="30">
        <v>3346.5</v>
      </c>
      <c r="G21" s="30">
        <v>1994536.9</v>
      </c>
      <c r="H21" s="30"/>
      <c r="I21" s="30">
        <v>874563.6</v>
      </c>
      <c r="J21" s="30">
        <v>0</v>
      </c>
      <c r="K21" s="30">
        <v>941229</v>
      </c>
      <c r="L21" s="31">
        <v>3813676</v>
      </c>
      <c r="M21" s="30">
        <v>1150066.7</v>
      </c>
      <c r="N21" s="29">
        <v>128898.4</v>
      </c>
      <c r="O21" s="31">
        <v>2534710.9</v>
      </c>
      <c r="P21" s="36">
        <v>23746.799999999999</v>
      </c>
      <c r="Q21" s="31">
        <v>3333011.8</v>
      </c>
      <c r="R21" s="31">
        <v>167.9</v>
      </c>
      <c r="S21" s="29">
        <v>3356926.4999999995</v>
      </c>
      <c r="T21" s="33">
        <v>5891637.3999999994</v>
      </c>
      <c r="U21" s="29">
        <v>5330068.3999999994</v>
      </c>
    </row>
    <row r="22" spans="1:22" s="35" customFormat="1" ht="15.75">
      <c r="A22" s="59" t="s">
        <v>54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34"/>
    </row>
    <row r="23" spans="1:22" s="35" customFormat="1" ht="15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34"/>
    </row>
    <row r="24" spans="1:22" s="35" customFormat="1" ht="15.75">
      <c r="A24" s="52" t="s">
        <v>52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34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2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2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2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2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5"/>
      <c r="B94" s="6"/>
      <c r="C94" s="6"/>
      <c r="D94" s="3"/>
      <c r="E94" s="6"/>
      <c r="F94" s="6"/>
      <c r="G94" s="6"/>
      <c r="H94" s="6"/>
      <c r="I94" s="6"/>
      <c r="J94" s="6"/>
      <c r="K94" s="4"/>
      <c r="L94" s="6"/>
      <c r="M94" s="3"/>
      <c r="N94" s="4"/>
      <c r="O94" s="7"/>
      <c r="P94" s="4"/>
      <c r="Q94" s="4"/>
      <c r="R94" s="3"/>
      <c r="S94" s="3"/>
      <c r="T94" s="3"/>
    </row>
    <row r="95" spans="1:20">
      <c r="A95" s="5"/>
      <c r="B95" s="6"/>
      <c r="C95" s="6"/>
      <c r="D95" s="3"/>
      <c r="E95" s="6"/>
      <c r="F95" s="6"/>
      <c r="G95" s="6"/>
      <c r="H95" s="6"/>
      <c r="I95" s="6"/>
      <c r="J95" s="6"/>
      <c r="K95" s="4"/>
      <c r="L95" s="6"/>
      <c r="M95" s="3"/>
      <c r="N95" s="4"/>
      <c r="O95" s="7"/>
      <c r="P95" s="4"/>
      <c r="Q95" s="4"/>
      <c r="R95" s="3"/>
      <c r="S95" s="3"/>
      <c r="T95" s="3"/>
    </row>
    <row r="96" spans="1:20">
      <c r="A96" s="5"/>
      <c r="B96" s="6"/>
      <c r="C96" s="6"/>
      <c r="D96" s="3"/>
      <c r="E96" s="6"/>
      <c r="F96" s="6"/>
      <c r="G96" s="6"/>
      <c r="H96" s="6"/>
      <c r="I96" s="6"/>
      <c r="J96" s="6"/>
      <c r="K96" s="4"/>
      <c r="L96" s="6"/>
      <c r="M96" s="3"/>
      <c r="N96" s="4"/>
      <c r="O96" s="7"/>
      <c r="P96" s="4"/>
      <c r="Q96" s="4"/>
      <c r="R96" s="3"/>
      <c r="S96" s="3"/>
      <c r="T96" s="3"/>
    </row>
    <row r="97" spans="1:20">
      <c r="A97" s="5"/>
      <c r="B97" s="6"/>
      <c r="C97" s="6"/>
      <c r="D97" s="3"/>
      <c r="E97" s="6"/>
      <c r="F97" s="6"/>
      <c r="G97" s="6"/>
      <c r="H97" s="6"/>
      <c r="I97" s="6"/>
      <c r="J97" s="6"/>
      <c r="K97" s="4"/>
      <c r="L97" s="6"/>
      <c r="M97" s="3"/>
      <c r="N97" s="4"/>
      <c r="O97" s="7"/>
      <c r="P97" s="4"/>
      <c r="Q97" s="4"/>
      <c r="R97" s="3"/>
      <c r="S97" s="3"/>
      <c r="T97" s="3"/>
    </row>
    <row r="98" spans="1:20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</sheetData>
  <mergeCells count="11">
    <mergeCell ref="A24:U24"/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2:U23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NSENGIYUMVA Raissa Providence</cp:lastModifiedBy>
  <cp:lastPrinted>2016-11-30T12:34:59Z</cp:lastPrinted>
  <dcterms:created xsi:type="dcterms:W3CDTF">2000-10-18T12:42:23Z</dcterms:created>
  <dcterms:modified xsi:type="dcterms:W3CDTF">2023-02-16T13:11:54Z</dcterms:modified>
</cp:coreProperties>
</file>