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46" i="5" l="1"/>
  <c r="P146" i="5"/>
  <c r="S146" i="5" s="1"/>
  <c r="L146" i="5"/>
  <c r="O146" i="5" s="1"/>
  <c r="T146" i="5" s="1"/>
  <c r="I146" i="5"/>
  <c r="G146" i="5"/>
  <c r="C146" i="5"/>
  <c r="B146" i="5"/>
  <c r="E146" i="5" s="1"/>
  <c r="U146" i="5" l="1"/>
  <c r="Q53" i="6" l="1"/>
  <c r="P53" i="6"/>
  <c r="S53" i="6" s="1"/>
  <c r="I53" i="6"/>
  <c r="G53" i="6"/>
  <c r="L53" i="6" s="1"/>
  <c r="O53" i="6" s="1"/>
  <c r="C53" i="6"/>
  <c r="B53" i="6"/>
  <c r="E53" i="6" s="1"/>
  <c r="T53" i="6" l="1"/>
  <c r="U53" i="6" s="1"/>
  <c r="S145" i="5"/>
  <c r="P145" i="5"/>
  <c r="I145" i="5"/>
  <c r="G145" i="5"/>
  <c r="E145" i="5"/>
  <c r="C145" i="5"/>
  <c r="B145" i="5"/>
  <c r="P144" i="5"/>
  <c r="S144" i="5" s="1"/>
  <c r="T144" i="5" s="1"/>
  <c r="L144" i="5"/>
  <c r="O144" i="5" s="1"/>
  <c r="I144" i="5"/>
  <c r="G144" i="5"/>
  <c r="C144" i="5"/>
  <c r="B144" i="5"/>
  <c r="E144" i="5" s="1"/>
  <c r="P143" i="5"/>
  <c r="S143" i="5" s="1"/>
  <c r="I143" i="5"/>
  <c r="G143" i="5"/>
  <c r="C143" i="5"/>
  <c r="B143" i="5"/>
  <c r="E143" i="5" s="1"/>
  <c r="S142" i="5"/>
  <c r="I142" i="5"/>
  <c r="G142" i="5"/>
  <c r="E142" i="5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S138" i="5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9" i="5" l="1"/>
  <c r="U139" i="5" s="1"/>
  <c r="T131" i="5"/>
  <c r="U131" i="5" s="1"/>
  <c r="U144" i="5"/>
  <c r="T140" i="5"/>
  <c r="U140" i="5" s="1"/>
  <c r="L142" i="5"/>
  <c r="O142" i="5" s="1"/>
  <c r="T142" i="5" s="1"/>
  <c r="U142" i="5" s="1"/>
  <c r="T133" i="5"/>
  <c r="U133" i="5" s="1"/>
  <c r="T141" i="5"/>
  <c r="U141" i="5" s="1"/>
  <c r="L145" i="5"/>
  <c r="O145" i="5" s="1"/>
  <c r="T145" i="5" s="1"/>
  <c r="U145" i="5" s="1"/>
  <c r="L143" i="5"/>
  <c r="O143" i="5" s="1"/>
  <c r="T143" i="5" s="1"/>
  <c r="U14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Q52" i="6"/>
  <c r="P52" i="6"/>
  <c r="S52" i="6" s="1"/>
  <c r="I52" i="6"/>
  <c r="G52" i="6"/>
  <c r="L52" i="6" s="1"/>
  <c r="O52" i="6" s="1"/>
  <c r="C52" i="6"/>
  <c r="B52" i="6"/>
  <c r="E52" i="6" s="1"/>
  <c r="T52" i="6" l="1"/>
  <c r="U52" i="6"/>
  <c r="S51" i="6" l="1"/>
  <c r="L51" i="6"/>
  <c r="O51" i="6" s="1"/>
  <c r="T51" i="6" s="1"/>
  <c r="U51" i="6" s="1"/>
  <c r="G51" i="6"/>
  <c r="E51" i="6"/>
  <c r="S17" i="7" l="1"/>
  <c r="L17" i="7"/>
  <c r="O17" i="7" s="1"/>
  <c r="T17" i="7" s="1"/>
  <c r="E17" i="7"/>
  <c r="U17" i="7" s="1"/>
  <c r="S16" i="7"/>
  <c r="Q16" i="7"/>
  <c r="P16" i="7"/>
  <c r="G16" i="7"/>
  <c r="L16" i="7" s="1"/>
  <c r="O16" i="7" s="1"/>
  <c r="T16" i="7" s="1"/>
  <c r="C16" i="7"/>
  <c r="E16" i="7" s="1"/>
  <c r="U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U49" i="6" l="1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T15" i="7" s="1"/>
  <c r="U15" i="7" s="1"/>
  <c r="O15" i="7"/>
  <c r="L15" i="7"/>
  <c r="E15" i="7"/>
  <c r="S14" i="7"/>
  <c r="L14" i="7"/>
  <c r="O14" i="7" s="1"/>
  <c r="E14" i="7"/>
  <c r="S13" i="7"/>
  <c r="L13" i="7"/>
  <c r="O13" i="7" s="1"/>
  <c r="T13" i="7" s="1"/>
  <c r="U13" i="7" s="1"/>
  <c r="E13" i="7"/>
  <c r="S12" i="7"/>
  <c r="O12" i="7"/>
  <c r="T12" i="7" s="1"/>
  <c r="U12" i="7" s="1"/>
  <c r="L12" i="7"/>
  <c r="E12" i="7"/>
  <c r="S11" i="7"/>
  <c r="L11" i="7"/>
  <c r="O11" i="7" s="1"/>
  <c r="E11" i="7"/>
  <c r="S10" i="7"/>
  <c r="L10" i="7"/>
  <c r="O10" i="7" s="1"/>
  <c r="T10" i="7" s="1"/>
  <c r="U10" i="7" s="1"/>
  <c r="E10" i="7"/>
  <c r="S9" i="7"/>
  <c r="L9" i="7"/>
  <c r="O9" i="7" s="1"/>
  <c r="T9" i="7" s="1"/>
  <c r="U9" i="7" s="1"/>
  <c r="E9" i="7"/>
  <c r="S8" i="7"/>
  <c r="L8" i="7"/>
  <c r="O8" i="7" s="1"/>
  <c r="T8" i="7" s="1"/>
  <c r="U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T43" i="6" s="1"/>
  <c r="E43" i="6"/>
  <c r="S42" i="6"/>
  <c r="L42" i="6"/>
  <c r="O42" i="6" s="1"/>
  <c r="T42" i="6" s="1"/>
  <c r="U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T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O34" i="6"/>
  <c r="T34" i="6" s="1"/>
  <c r="U34" i="6" s="1"/>
  <c r="L34" i="6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T29" i="6" s="1"/>
  <c r="U29" i="6" s="1"/>
  <c r="L29" i="6"/>
  <c r="O29" i="6" s="1"/>
  <c r="E29" i="6"/>
  <c r="S28" i="6"/>
  <c r="L28" i="6"/>
  <c r="O28" i="6" s="1"/>
  <c r="E28" i="6"/>
  <c r="S27" i="6"/>
  <c r="L27" i="6"/>
  <c r="O27" i="6" s="1"/>
  <c r="T27" i="6" s="1"/>
  <c r="E27" i="6"/>
  <c r="S26" i="6"/>
  <c r="L26" i="6"/>
  <c r="O26" i="6" s="1"/>
  <c r="T26" i="6" s="1"/>
  <c r="U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T23" i="6" s="1"/>
  <c r="E23" i="6"/>
  <c r="S22" i="6"/>
  <c r="L22" i="6"/>
  <c r="O22" i="6" s="1"/>
  <c r="T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T18" i="6" s="1"/>
  <c r="U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O14" i="6"/>
  <c r="L14" i="6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T10" i="6" s="1"/>
  <c r="U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T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T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T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T103" i="5" s="1"/>
  <c r="U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T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T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T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T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T31" i="5" s="1"/>
  <c r="U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T23" i="5" s="1"/>
  <c r="U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T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U22" i="6" l="1"/>
  <c r="T45" i="6"/>
  <c r="U45" i="6" s="1"/>
  <c r="T7" i="6"/>
  <c r="U38" i="6"/>
  <c r="T13" i="6"/>
  <c r="U13" i="6" s="1"/>
  <c r="T11" i="6"/>
  <c r="T39" i="6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T71" i="5"/>
  <c r="U71" i="5" s="1"/>
  <c r="T79" i="5"/>
  <c r="T27" i="5"/>
  <c r="U27" i="5" s="1"/>
  <c r="T87" i="5"/>
  <c r="U87" i="5" s="1"/>
  <c r="T95" i="5"/>
  <c r="U95" i="5" s="1"/>
  <c r="T121" i="5"/>
  <c r="U119" i="5"/>
  <c r="T75" i="5"/>
  <c r="U75" i="5" s="1"/>
  <c r="T47" i="5"/>
  <c r="U47" i="5" s="1"/>
  <c r="U99" i="5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U27" i="6"/>
  <c r="U19" i="6"/>
  <c r="U43" i="6"/>
  <c r="U7" i="6"/>
  <c r="U39" i="6"/>
  <c r="U11" i="6"/>
  <c r="U23" i="6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U59" i="5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U15" i="5"/>
  <c r="T22" i="5"/>
  <c r="U22" i="5" s="1"/>
  <c r="T54" i="5"/>
  <c r="U54" i="5" s="1"/>
  <c r="U79" i="5"/>
  <c r="T86" i="5"/>
  <c r="U86" i="5" s="1"/>
  <c r="U111" i="5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U121" i="5"/>
  <c r="T94" i="5"/>
  <c r="U94" i="5" s="1"/>
  <c r="T12" i="5"/>
  <c r="U12" i="5" s="1"/>
  <c r="U91" i="5"/>
  <c r="T18" i="5"/>
  <c r="U18" i="5" s="1"/>
  <c r="T28" i="5"/>
  <c r="U28" i="5" s="1"/>
  <c r="T33" i="5"/>
  <c r="U33" i="5" s="1"/>
  <c r="U43" i="5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U107" i="5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<sst xmlns="http://schemas.openxmlformats.org/spreadsheetml/2006/main" count="370" uniqueCount="69">
  <si>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</si>
  <si>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</si>
  <si>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</si>
  <si>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</si>
  <si>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</si>
  <si>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</si>
  <si>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</si>
  <si>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</si>
  <si>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</si>
  <si>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</si>
  <si>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</si>
  <si>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</si>
  <si>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</si>
  <si>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</si>
  <si>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</si>
  <si>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</si>
  <si>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</si>
  <si>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</si>
  <si>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</si>
  <si>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</si>
  <si>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</si>
  <si>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</si>
  <si>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</si>
  <si>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</si>
  <si>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</si>
  <si>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</si>
  <si>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</si>
  <si>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</si>
  <si>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</si>
  <si>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</si>
  <si>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</si>
  <si>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</si>
  <si>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</si>
  <si>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</si>
  <si>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</si>
  <si>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</si>
  <si>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</si>
  <si>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</si>
  <si>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</si>
  <si>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</si>
  <si>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</si>
  <si>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</si>
  <si>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</si>
  <si>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</si>
  <si>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</si>
  <si>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</si>
  <si>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</si>
  <si>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</si>
  <si>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</si>
  <si>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</si>
  <si>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</si>
  <si>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</si>
  <si>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</si>
  <si>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</si>
  <si>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</si>
  <si>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</si>
  <si>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</si>
  <si>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>2018</t>
  </si>
  <si>
    <t xml:space="preserve"> Microfinance Institutions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</si>
  <si>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</si>
  <si>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</si>
  <si>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</si>
  <si>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</si>
  <si>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</si>
  <si>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</si>
  <si>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</si>
  <si>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</si>
  <si>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t>August-(p)</t>
  </si>
  <si>
    <r>
      <t>August-19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</si>
</sst>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83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71" fontId="12" fillId="0" borderId="4" xfId="0" quotePrefix="1" applyNumberFormat="1" applyFont="1" applyFill="1" applyBorder="1" applyAlignment="1" applyProtection="1">
      <alignment horizontal="left" vertical="top"/>
    </xf>
    <xf numFmtId="167" fontId="12" fillId="0" borderId="5" xfId="0" quotePrefix="1" applyNumberFormat="1" applyFont="1" applyFill="1" applyBorder="1" applyAlignment="1" applyProtection="1">
      <alignment horizontal="center"/>
    </xf>
    <xf numFmtId="167" fontId="12" fillId="0" borderId="5" xfId="0" applyNumberFormat="1" applyFont="1" applyFill="1" applyBorder="1" applyAlignment="1" applyProtection="1">
      <alignment horizontal="center"/>
    </xf>
    <xf numFmtId="167" fontId="12" fillId="2" borderId="5" xfId="0" applyNumberFormat="1" applyFont="1" applyFill="1" applyBorder="1" applyAlignment="1" applyProtection="1">
      <alignment horizontal="center"/>
    </xf>
    <xf numFmtId="166" fontId="12" fillId="0" borderId="5" xfId="0" applyNumberFormat="1" applyFont="1" applyBorder="1" applyAlignment="1" applyProtection="1">
      <alignment horizontal="center"/>
    </xf>
    <xf numFmtId="167" fontId="12" fillId="0" borderId="6" xfId="0" applyNumberFormat="1" applyFont="1" applyFill="1" applyBorder="1" applyAlignment="1" applyProtection="1">
      <alignment horizontal="center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C1" workbookViewId="0">
      <selection activeCell="E12" sqref="E12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43708</v>
      </c>
    </row>
    <row r="13" spans="2:5">
      <c r="B13" s="37" t="s">
        <v>17</v>
      </c>
      <c r="C13" s="14" t="s">
        <v>23</v>
      </c>
      <c r="D13" s="14" t="s">
        <v>17</v>
      </c>
      <c r="E13" s="16" t="s">
        <v>63</v>
      </c>
    </row>
    <row r="14" spans="2:5">
      <c r="B14" s="37" t="s">
        <v>18</v>
      </c>
      <c r="C14" s="14" t="s">
        <v>24</v>
      </c>
      <c r="D14" s="14" t="s">
        <v>18</v>
      </c>
      <c r="E14" s="15" t="s">
        <v>57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49"/>
  <sheetViews>
    <sheetView tabSelected="1" workbookViewId="0">
      <pane xSplit="1" ySplit="6" topLeftCell="B139" activePane="bottomRight" state="frozen"/>
      <selection pane="topRight" activeCell="B1" sqref="B1"/>
      <selection pane="bottomLeft" activeCell="A7" sqref="A7"/>
      <selection pane="bottomRight" activeCell="A146" sqref="A146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9" t="s">
        <v>51</v>
      </c>
      <c r="G2" s="59"/>
      <c r="H2" s="59"/>
    </row>
    <row r="3" spans="1:22" ht="21" customHeight="1"/>
    <row r="4" spans="1:22" s="26" customFormat="1" ht="15.75" customHeight="1">
      <c r="A4" s="80" t="s">
        <v>42</v>
      </c>
      <c r="B4" s="74" t="s">
        <v>40</v>
      </c>
      <c r="C4" s="75"/>
      <c r="D4" s="75"/>
      <c r="E4" s="76"/>
      <c r="F4" s="60" t="s">
        <v>27</v>
      </c>
      <c r="G4" s="61"/>
      <c r="H4" s="61"/>
      <c r="I4" s="61"/>
      <c r="J4" s="61"/>
      <c r="K4" s="61"/>
      <c r="L4" s="61"/>
      <c r="M4" s="61"/>
      <c r="N4" s="61"/>
      <c r="O4" s="62"/>
      <c r="P4" s="60"/>
      <c r="Q4" s="61"/>
      <c r="R4" s="61"/>
      <c r="S4" s="61"/>
      <c r="T4" s="61"/>
      <c r="U4" s="71" t="s">
        <v>41</v>
      </c>
      <c r="V4" s="25"/>
    </row>
    <row r="5" spans="1:22" s="26" customFormat="1" ht="18">
      <c r="A5" s="81"/>
      <c r="B5" s="77"/>
      <c r="C5" s="78"/>
      <c r="D5" s="78"/>
      <c r="E5" s="79"/>
      <c r="F5" s="60" t="s">
        <v>28</v>
      </c>
      <c r="G5" s="61"/>
      <c r="H5" s="61"/>
      <c r="I5" s="61"/>
      <c r="J5" s="61"/>
      <c r="K5" s="61"/>
      <c r="L5" s="61"/>
      <c r="M5" s="61"/>
      <c r="N5" s="61"/>
      <c r="O5" s="62"/>
      <c r="P5" s="60" t="s">
        <v>39</v>
      </c>
      <c r="Q5" s="61"/>
      <c r="R5" s="61"/>
      <c r="S5" s="61"/>
      <c r="T5" s="69" t="s">
        <v>0</v>
      </c>
      <c r="U5" s="72"/>
      <c r="V5" s="27"/>
    </row>
    <row r="6" spans="1:22" s="26" customFormat="1" ht="54">
      <c r="A6" s="82"/>
      <c r="B6" s="42" t="s">
        <v>9</v>
      </c>
      <c r="C6" s="43" t="s">
        <v>43</v>
      </c>
      <c r="D6" s="43" t="s">
        <v>58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70"/>
      <c r="U6" s="73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45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45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45" si="15">S135+O135</f>
        <v>2265248.8000000007</v>
      </c>
      <c r="U135" s="29">
        <f t="shared" ref="U135:U145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45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45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8">
      <c r="A139" s="47" t="s">
        <v>59</v>
      </c>
      <c r="B139" s="30">
        <v>-182568.59999999998</v>
      </c>
      <c r="C139" s="30">
        <v>-55757.799999999988</v>
      </c>
      <c r="D139" s="30" t="s">
        <v>1</v>
      </c>
      <c r="E139" s="29">
        <f t="shared" si="17"/>
        <v>-238326.39999999997</v>
      </c>
      <c r="F139" s="30">
        <v>174198.6</v>
      </c>
      <c r="G139" s="30">
        <v>986516.79999999993</v>
      </c>
      <c r="H139" s="30"/>
      <c r="I139" s="30">
        <v>59277.799999999996</v>
      </c>
      <c r="J139" s="30">
        <v>40405.800000000003</v>
      </c>
      <c r="K139" s="30">
        <v>521293.6</v>
      </c>
      <c r="L139" s="31">
        <f t="shared" si="13"/>
        <v>1781692.6</v>
      </c>
      <c r="M139" s="30">
        <v>370633.2</v>
      </c>
      <c r="N139" s="29">
        <v>61052.1</v>
      </c>
      <c r="O139" s="31">
        <f t="shared" si="14"/>
        <v>1350007.3</v>
      </c>
      <c r="P139" s="36">
        <v>36041.299999999996</v>
      </c>
      <c r="Q139" s="31">
        <v>977163.1</v>
      </c>
      <c r="R139" s="31">
        <v>6363.7</v>
      </c>
      <c r="S139" s="29">
        <f t="shared" si="18"/>
        <v>1019568.1</v>
      </c>
      <c r="T139" s="33">
        <f t="shared" si="15"/>
        <v>2369575.4</v>
      </c>
      <c r="U139" s="29">
        <f t="shared" si="16"/>
        <v>2131249</v>
      </c>
      <c r="V139" s="34"/>
    </row>
    <row r="140" spans="1:22" s="35" customFormat="1" ht="18">
      <c r="A140" s="47" t="s">
        <v>60</v>
      </c>
      <c r="B140" s="30">
        <v>-148014.80000000002</v>
      </c>
      <c r="C140" s="30">
        <v>-56830.499999999971</v>
      </c>
      <c r="D140" s="30" t="s">
        <v>1</v>
      </c>
      <c r="E140" s="29">
        <f t="shared" si="17"/>
        <v>-204845.3</v>
      </c>
      <c r="F140" s="30">
        <v>195688.4</v>
      </c>
      <c r="G140" s="30">
        <v>1016767.7000000001</v>
      </c>
      <c r="H140" s="30"/>
      <c r="I140" s="30">
        <v>59539.399999999994</v>
      </c>
      <c r="J140" s="30">
        <v>39012.5</v>
      </c>
      <c r="K140" s="30">
        <v>520084.5</v>
      </c>
      <c r="L140" s="31">
        <f t="shared" si="13"/>
        <v>1831092.5</v>
      </c>
      <c r="M140" s="30">
        <v>368080.4</v>
      </c>
      <c r="N140" s="29">
        <v>64711.1</v>
      </c>
      <c r="O140" s="31">
        <f t="shared" si="14"/>
        <v>1398301</v>
      </c>
      <c r="P140" s="36">
        <v>34014.400000000001</v>
      </c>
      <c r="Q140" s="31">
        <v>991824.5</v>
      </c>
      <c r="R140" s="31">
        <v>6912.9</v>
      </c>
      <c r="S140" s="29">
        <f t="shared" si="18"/>
        <v>1032751.8</v>
      </c>
      <c r="T140" s="33">
        <f t="shared" si="15"/>
        <v>2431052.7999999998</v>
      </c>
      <c r="U140" s="29">
        <f t="shared" si="16"/>
        <v>2226207.5</v>
      </c>
      <c r="V140" s="34"/>
    </row>
    <row r="141" spans="1:22" s="35" customFormat="1" ht="18">
      <c r="A141" s="47" t="s">
        <v>61</v>
      </c>
      <c r="B141" s="30">
        <v>-166782.39999999999</v>
      </c>
      <c r="C141" s="30">
        <v>-62620.70000000007</v>
      </c>
      <c r="D141" s="30" t="s">
        <v>1</v>
      </c>
      <c r="E141" s="29">
        <f t="shared" si="17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59993.5</v>
      </c>
      <c r="J141" s="30">
        <v>36225.9</v>
      </c>
      <c r="K141" s="30">
        <v>518306</v>
      </c>
      <c r="L141" s="31">
        <f t="shared" si="13"/>
        <v>1873915.0999999999</v>
      </c>
      <c r="M141" s="30">
        <v>412450</v>
      </c>
      <c r="N141" s="29">
        <v>58269.8</v>
      </c>
      <c r="O141" s="31">
        <f t="shared" si="14"/>
        <v>1403195.2999999998</v>
      </c>
      <c r="P141" s="36">
        <v>32296.6</v>
      </c>
      <c r="Q141" s="31">
        <v>1008148.3000000002</v>
      </c>
      <c r="R141" s="31">
        <v>6662.7</v>
      </c>
      <c r="S141" s="29">
        <f t="shared" si="18"/>
        <v>1047107.6000000001</v>
      </c>
      <c r="T141" s="33">
        <f t="shared" si="15"/>
        <v>2450302.9</v>
      </c>
      <c r="U141" s="29">
        <f t="shared" si="16"/>
        <v>2220899.7999999998</v>
      </c>
      <c r="V141" s="34"/>
    </row>
    <row r="142" spans="1:22" s="35" customFormat="1" ht="18">
      <c r="A142" s="47" t="s">
        <v>62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7"/>
        <v>-236973.7</v>
      </c>
      <c r="F142" s="30">
        <v>195994.1</v>
      </c>
      <c r="G142" s="30">
        <f>50233.1+1006432.8+19500</f>
        <v>1076165.9000000001</v>
      </c>
      <c r="H142" s="30"/>
      <c r="I142" s="30">
        <f>16025.6+44311.4</f>
        <v>60337</v>
      </c>
      <c r="J142" s="30">
        <v>36225.9</v>
      </c>
      <c r="K142" s="30">
        <v>517334.5</v>
      </c>
      <c r="L142" s="31">
        <f t="shared" si="13"/>
        <v>1886057.4000000001</v>
      </c>
      <c r="M142" s="30">
        <v>390323.7</v>
      </c>
      <c r="N142" s="29">
        <v>56955.6</v>
      </c>
      <c r="O142" s="31">
        <f t="shared" si="14"/>
        <v>1438778.1</v>
      </c>
      <c r="P142" s="36">
        <v>33330.999999999993</v>
      </c>
      <c r="Q142" s="31">
        <v>1004160.3</v>
      </c>
      <c r="R142" s="31">
        <v>6674.3</v>
      </c>
      <c r="S142" s="29">
        <f t="shared" si="18"/>
        <v>1044165.6000000001</v>
      </c>
      <c r="T142" s="33">
        <f t="shared" si="15"/>
        <v>2482943.7000000002</v>
      </c>
      <c r="U142" s="29">
        <f t="shared" si="16"/>
        <v>2245970</v>
      </c>
      <c r="V142" s="34"/>
    </row>
    <row r="143" spans="1:22" s="35" customFormat="1" ht="18">
      <c r="A143" s="47" t="s">
        <v>64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7"/>
        <v>-190248</v>
      </c>
      <c r="F143" s="30">
        <v>191866.3</v>
      </c>
      <c r="G143" s="30">
        <f>45273+1055617.8+16915</f>
        <v>1117805.8</v>
      </c>
      <c r="H143" s="30"/>
      <c r="I143" s="30">
        <f>16025.6+43211.6</f>
        <v>59237.2</v>
      </c>
      <c r="J143" s="30">
        <v>34832.6</v>
      </c>
      <c r="K143" s="30">
        <v>515247.9</v>
      </c>
      <c r="L143" s="31">
        <f t="shared" si="13"/>
        <v>1918989.8000000003</v>
      </c>
      <c r="M143" s="30">
        <v>428305.4</v>
      </c>
      <c r="N143" s="29">
        <v>67301.8</v>
      </c>
      <c r="O143" s="31">
        <f t="shared" si="14"/>
        <v>1423382.6000000003</v>
      </c>
      <c r="P143" s="36">
        <f>28149+101.6</f>
        <v>28250.6</v>
      </c>
      <c r="Q143" s="31">
        <v>1036819.9</v>
      </c>
      <c r="R143" s="31">
        <v>6967</v>
      </c>
      <c r="S143" s="29">
        <f t="shared" si="18"/>
        <v>1072037.5</v>
      </c>
      <c r="T143" s="33">
        <f t="shared" si="15"/>
        <v>2495420.1000000006</v>
      </c>
      <c r="U143" s="29">
        <f t="shared" si="16"/>
        <v>2305172.1000000006</v>
      </c>
      <c r="V143" s="34"/>
    </row>
    <row r="144" spans="1:22" s="35" customFormat="1" ht="18">
      <c r="A144" s="47" t="s">
        <v>65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7"/>
        <v>-194252.90000000002</v>
      </c>
      <c r="F144" s="30">
        <v>216009.2</v>
      </c>
      <c r="G144" s="30">
        <f>42174.9+1084518.3+16965</f>
        <v>1143658.2</v>
      </c>
      <c r="H144" s="30"/>
      <c r="I144" s="30">
        <f>16025.6+40707.7</f>
        <v>56733.299999999996</v>
      </c>
      <c r="J144" s="30">
        <v>32046</v>
      </c>
      <c r="K144" s="30">
        <v>514038.8</v>
      </c>
      <c r="L144" s="31">
        <f t="shared" si="13"/>
        <v>1962485.5</v>
      </c>
      <c r="M144" s="30">
        <v>427944.6</v>
      </c>
      <c r="N144" s="29">
        <v>62402.2</v>
      </c>
      <c r="O144" s="31">
        <f t="shared" si="14"/>
        <v>1472138.7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18"/>
        <v>1103705.6000000001</v>
      </c>
      <c r="T144" s="33">
        <f t="shared" si="15"/>
        <v>2575844.2999999998</v>
      </c>
      <c r="U144" s="29">
        <f t="shared" si="16"/>
        <v>2381591.4</v>
      </c>
      <c r="V144" s="34"/>
    </row>
    <row r="145" spans="1:22" s="35" customFormat="1" ht="18">
      <c r="A145" s="47" t="s">
        <v>66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si="17"/>
        <v>-234029.10000000003</v>
      </c>
      <c r="F145" s="30">
        <v>158917.5</v>
      </c>
      <c r="G145" s="30">
        <f>43953+1112283.8+13837</f>
        <v>1170073.8</v>
      </c>
      <c r="H145" s="30"/>
      <c r="I145" s="30">
        <f>16025.6+41061.9</f>
        <v>57087.5</v>
      </c>
      <c r="J145" s="30">
        <v>30652.7</v>
      </c>
      <c r="K145" s="30">
        <v>512829.7</v>
      </c>
      <c r="L145" s="31">
        <f t="shared" si="13"/>
        <v>1929561.2</v>
      </c>
      <c r="M145" s="30">
        <v>385742.2</v>
      </c>
      <c r="N145" s="29">
        <v>69016.7</v>
      </c>
      <c r="O145" s="31">
        <f t="shared" si="14"/>
        <v>1474802.3</v>
      </c>
      <c r="P145" s="36">
        <f>19521.9+101.6</f>
        <v>19623.5</v>
      </c>
      <c r="Q145" s="31">
        <v>1109224.2</v>
      </c>
      <c r="R145" s="31">
        <v>6695.5999999999995</v>
      </c>
      <c r="S145" s="29">
        <f t="shared" si="18"/>
        <v>1135543.3</v>
      </c>
      <c r="T145" s="33">
        <f t="shared" si="15"/>
        <v>2610345.6</v>
      </c>
      <c r="U145" s="29">
        <f t="shared" si="16"/>
        <v>2376316.5</v>
      </c>
      <c r="V145" s="34"/>
    </row>
    <row r="146" spans="1:22" s="35" customFormat="1" ht="18">
      <c r="A146" s="47" t="s">
        <v>68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ref="E146" si="19">+SUM(B146:D146)</f>
        <v>-242519.69999999998</v>
      </c>
      <c r="F146" s="30">
        <v>0</v>
      </c>
      <c r="G146" s="30">
        <f>44613+1152737.1+15106</f>
        <v>1212456.1000000001</v>
      </c>
      <c r="H146" s="30"/>
      <c r="I146" s="30">
        <f>16025.6+41392</f>
        <v>57417.599999999999</v>
      </c>
      <c r="J146" s="30">
        <v>30652.7</v>
      </c>
      <c r="K146" s="30">
        <v>728838.8</v>
      </c>
      <c r="L146" s="31">
        <f t="shared" ref="L146" si="20">+SUM(F146:K146)</f>
        <v>2029365.2000000002</v>
      </c>
      <c r="M146" s="30">
        <v>467110.9</v>
      </c>
      <c r="N146" s="29">
        <v>76766.3</v>
      </c>
      <c r="O146" s="31">
        <f t="shared" ref="O146" si="21">+L146-M146-N146</f>
        <v>1485488.0000000002</v>
      </c>
      <c r="P146" s="36">
        <f>19534+101.6</f>
        <v>19635.599999999999</v>
      </c>
      <c r="Q146" s="31">
        <f>1065616.8+4640+41168.2</f>
        <v>1111425</v>
      </c>
      <c r="R146" s="31">
        <v>6755.2</v>
      </c>
      <c r="S146" s="29">
        <f t="shared" ref="S146" si="22">SUM(P146:R146)</f>
        <v>1137815.8</v>
      </c>
      <c r="T146" s="33">
        <f t="shared" ref="T146" si="23">SUM(O146,S146)</f>
        <v>2623303.8000000003</v>
      </c>
      <c r="U146" s="29">
        <f t="shared" ref="U146" si="24">SUM(E146,T146)</f>
        <v>2380784.1</v>
      </c>
      <c r="V146" s="34"/>
    </row>
    <row r="147" spans="1:22" s="35" customFormat="1" ht="15.75">
      <c r="A147" s="63" t="s">
        <v>54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5"/>
      <c r="V147" s="34"/>
    </row>
    <row r="148" spans="1:22" s="35" customFormat="1" ht="15.75">
      <c r="A148" s="6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8"/>
      <c r="V148" s="34"/>
    </row>
    <row r="149" spans="1:22" s="35" customFormat="1" ht="15.75">
      <c r="A149" s="56" t="s">
        <v>52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8"/>
      <c r="V149" s="34"/>
    </row>
  </sheetData>
  <mergeCells count="11">
    <mergeCell ref="A149:U149"/>
    <mergeCell ref="F2:H2"/>
    <mergeCell ref="F5:O5"/>
    <mergeCell ref="P5:S5"/>
    <mergeCell ref="F4:O4"/>
    <mergeCell ref="P4:T4"/>
    <mergeCell ref="A147:U148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7"/>
  <sheetViews>
    <sheetView workbookViewId="0">
      <pane xSplit="1" ySplit="6" topLeftCell="T49" activePane="bottomRight" state="frozen"/>
      <selection pane="topRight" activeCell="B1" sqref="B1"/>
      <selection pane="bottomLeft" activeCell="A7" sqref="A7"/>
      <selection pane="bottomRight" activeCell="U53" sqref="U53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9" t="s">
        <v>51</v>
      </c>
      <c r="F2" s="59"/>
      <c r="G2" s="59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80" t="s">
        <v>42</v>
      </c>
      <c r="B4" s="74" t="s">
        <v>40</v>
      </c>
      <c r="C4" s="75"/>
      <c r="D4" s="75"/>
      <c r="E4" s="76"/>
      <c r="F4" s="60" t="s">
        <v>27</v>
      </c>
      <c r="G4" s="61"/>
      <c r="H4" s="61"/>
      <c r="I4" s="61"/>
      <c r="J4" s="61"/>
      <c r="K4" s="61"/>
      <c r="L4" s="61"/>
      <c r="M4" s="61"/>
      <c r="N4" s="61"/>
      <c r="O4" s="62"/>
      <c r="P4" s="60"/>
      <c r="Q4" s="61"/>
      <c r="R4" s="61"/>
      <c r="S4" s="61"/>
      <c r="T4" s="61"/>
      <c r="U4" s="71" t="s">
        <v>41</v>
      </c>
      <c r="V4" s="25"/>
    </row>
    <row r="5" spans="1:16382" s="26" customFormat="1" ht="18">
      <c r="A5" s="81"/>
      <c r="B5" s="77"/>
      <c r="C5" s="78"/>
      <c r="D5" s="78"/>
      <c r="E5" s="79"/>
      <c r="F5" s="60" t="s">
        <v>28</v>
      </c>
      <c r="G5" s="61"/>
      <c r="H5" s="61"/>
      <c r="I5" s="61"/>
      <c r="J5" s="61"/>
      <c r="K5" s="61"/>
      <c r="L5" s="61"/>
      <c r="M5" s="61"/>
      <c r="N5" s="61"/>
      <c r="O5" s="62"/>
      <c r="P5" s="60" t="s">
        <v>39</v>
      </c>
      <c r="Q5" s="61"/>
      <c r="R5" s="61"/>
      <c r="S5" s="61"/>
      <c r="T5" s="69" t="s">
        <v>0</v>
      </c>
      <c r="U5" s="72"/>
      <c r="V5" s="27"/>
    </row>
    <row r="6" spans="1:16382" s="26" customFormat="1" ht="72">
      <c r="A6" s="82"/>
      <c r="B6" s="42" t="s">
        <v>9</v>
      </c>
      <c r="C6" s="43" t="s">
        <v>43</v>
      </c>
      <c r="D6" s="43" t="s">
        <v>58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70"/>
      <c r="U6" s="73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1" si="9">+SUM(F47:K47)</f>
        <v>1493251.9</v>
      </c>
      <c r="M47" s="30">
        <v>290474.60000000003</v>
      </c>
      <c r="N47" s="29">
        <v>56551.900000000009</v>
      </c>
      <c r="O47" s="31">
        <f t="shared" ref="O47:O53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53" si="12">SUM(O47,S47)</f>
        <v>2055107.1999999997</v>
      </c>
      <c r="U47" s="29">
        <f t="shared" ref="U47:U53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3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3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:E51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3" s="35" customFormat="1" ht="18">
      <c r="A51" s="47" t="s">
        <v>61</v>
      </c>
      <c r="B51" s="30">
        <v>-166782.39999999999</v>
      </c>
      <c r="C51" s="30">
        <v>-62620.70000000007</v>
      </c>
      <c r="D51" s="30" t="s">
        <v>1</v>
      </c>
      <c r="E51" s="29">
        <f t="shared" si="14"/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59993.5</v>
      </c>
      <c r="J51" s="30">
        <v>36225.9</v>
      </c>
      <c r="K51" s="30">
        <v>518306</v>
      </c>
      <c r="L51" s="31">
        <f t="shared" si="9"/>
        <v>1873915.0999999999</v>
      </c>
      <c r="M51" s="30">
        <v>412450</v>
      </c>
      <c r="N51" s="29">
        <v>58269.8</v>
      </c>
      <c r="O51" s="31">
        <f t="shared" si="10"/>
        <v>1403195.2999999998</v>
      </c>
      <c r="P51" s="36">
        <v>32296.6</v>
      </c>
      <c r="Q51" s="31">
        <v>1008148.3000000002</v>
      </c>
      <c r="R51" s="31">
        <v>6662.7</v>
      </c>
      <c r="S51" s="29">
        <f t="shared" ref="S51" si="16">SUM(P51:R51)</f>
        <v>1047107.6000000001</v>
      </c>
      <c r="T51" s="33">
        <f t="shared" si="12"/>
        <v>2450302.9</v>
      </c>
      <c r="U51" s="29">
        <f t="shared" si="13"/>
        <v>2220899.7999999998</v>
      </c>
      <c r="V51" s="34"/>
    </row>
    <row r="52" spans="1:23" s="35" customFormat="1" ht="18">
      <c r="A52" s="47" t="s">
        <v>65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ref="E52" si="17">+SUM(B52:D52)</f>
        <v>-194252.90000000002</v>
      </c>
      <c r="F52" s="30">
        <v>216009.2</v>
      </c>
      <c r="G52" s="30">
        <f>42174.9+1084518.3+16965</f>
        <v>1143658.2</v>
      </c>
      <c r="H52" s="30"/>
      <c r="I52" s="30">
        <f>16025.6+40707.7</f>
        <v>56733.299999999996</v>
      </c>
      <c r="J52" s="30">
        <v>32046</v>
      </c>
      <c r="K52" s="30">
        <v>514038.8</v>
      </c>
      <c r="L52" s="31">
        <f t="shared" ref="L52" si="18">+SUM(F52:K52)</f>
        <v>1962485.5</v>
      </c>
      <c r="M52" s="30">
        <v>428969.2</v>
      </c>
      <c r="N52" s="29">
        <v>62402.2</v>
      </c>
      <c r="O52" s="31">
        <f t="shared" si="10"/>
        <v>1471114.1</v>
      </c>
      <c r="P52" s="36">
        <f>23367.3+101.6</f>
        <v>23468.899999999998</v>
      </c>
      <c r="Q52" s="31">
        <f>1007983.1+4631.4+43269.7</f>
        <v>1055884.2</v>
      </c>
      <c r="R52" s="31">
        <v>6546.1</v>
      </c>
      <c r="S52" s="29">
        <f t="shared" ref="S52" si="19">SUM(P52:R52)</f>
        <v>1085899.2</v>
      </c>
      <c r="T52" s="33">
        <f t="shared" si="12"/>
        <v>2557013.2999999998</v>
      </c>
      <c r="U52" s="29">
        <f t="shared" si="13"/>
        <v>2362760.4</v>
      </c>
      <c r="V52" s="34"/>
    </row>
    <row r="53" spans="1:23" s="35" customFormat="1" ht="15.75">
      <c r="A53" s="47" t="s">
        <v>67</v>
      </c>
      <c r="B53" s="30">
        <f>143964.8-295856.6</f>
        <v>-151891.79999999999</v>
      </c>
      <c r="C53" s="30">
        <f>131114.5-221742.4</f>
        <v>-90627.9</v>
      </c>
      <c r="D53" s="30" t="s">
        <v>1</v>
      </c>
      <c r="E53" s="29">
        <f t="shared" ref="E53" si="20">+SUM(B53:D53)</f>
        <v>-242519.69999999998</v>
      </c>
      <c r="F53" s="30">
        <v>0</v>
      </c>
      <c r="G53" s="30">
        <f>44613+1152737.1+15106</f>
        <v>1212456.1000000001</v>
      </c>
      <c r="H53" s="30"/>
      <c r="I53" s="30">
        <f>16025.6+41392</f>
        <v>57417.599999999999</v>
      </c>
      <c r="J53" s="30">
        <v>30652.7</v>
      </c>
      <c r="K53" s="30">
        <v>728838.8</v>
      </c>
      <c r="L53" s="31">
        <f t="shared" ref="L53" si="21">+SUM(F53:K53)</f>
        <v>2029365.2000000002</v>
      </c>
      <c r="M53" s="30">
        <v>467110.9</v>
      </c>
      <c r="N53" s="29">
        <v>76766.3</v>
      </c>
      <c r="O53" s="31">
        <f t="shared" si="10"/>
        <v>1485488.0000000002</v>
      </c>
      <c r="P53" s="36">
        <f>19534+101.6</f>
        <v>19635.599999999999</v>
      </c>
      <c r="Q53" s="31">
        <f>1065616.8+4640+41168.2</f>
        <v>1111425</v>
      </c>
      <c r="R53" s="31">
        <v>6755.2</v>
      </c>
      <c r="S53" s="29">
        <f t="shared" ref="S53" si="22">SUM(P53:R53)</f>
        <v>1137815.8</v>
      </c>
      <c r="T53" s="33">
        <f t="shared" si="12"/>
        <v>2623303.8000000003</v>
      </c>
      <c r="U53" s="29">
        <f t="shared" si="13"/>
        <v>2380784.1</v>
      </c>
      <c r="V53" s="34"/>
    </row>
    <row r="54" spans="1:23" s="35" customFormat="1" ht="15.75">
      <c r="A54" s="50"/>
      <c r="B54" s="51"/>
      <c r="C54" s="51"/>
      <c r="D54" s="51"/>
      <c r="E54" s="52"/>
      <c r="F54" s="51"/>
      <c r="G54" s="51"/>
      <c r="H54" s="51"/>
      <c r="I54" s="51"/>
      <c r="J54" s="51"/>
      <c r="K54" s="51"/>
      <c r="L54" s="53"/>
      <c r="M54" s="51"/>
      <c r="N54" s="52"/>
      <c r="O54" s="53"/>
      <c r="P54" s="54"/>
      <c r="Q54" s="53"/>
      <c r="R54" s="53"/>
      <c r="S54" s="52"/>
      <c r="T54" s="52"/>
      <c r="U54" s="55"/>
      <c r="V54" s="34"/>
    </row>
    <row r="55" spans="1:23" s="48" customFormat="1" ht="19.5">
      <c r="A55" s="63" t="s">
        <v>54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5"/>
      <c r="W55" s="49"/>
    </row>
    <row r="56" spans="1:23" s="35" customFormat="1" ht="15.75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8"/>
      <c r="V56" s="34"/>
    </row>
    <row r="57" spans="1:23" s="35" customFormat="1" ht="15.75">
      <c r="A57" s="56" t="s">
        <v>52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34"/>
    </row>
  </sheetData>
  <mergeCells count="11">
    <mergeCell ref="E2:G2"/>
    <mergeCell ref="A57:U57"/>
    <mergeCell ref="A4:A6"/>
    <mergeCell ref="B4:E5"/>
    <mergeCell ref="F4:O4"/>
    <mergeCell ref="P4:T4"/>
    <mergeCell ref="A55:U56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4"/>
  <sheetViews>
    <sheetView workbookViewId="0">
      <pane xSplit="1" ySplit="6" topLeftCell="P10" activePane="bottomRight" state="frozen"/>
      <selection pane="topRight" activeCell="B1" sqref="B1"/>
      <selection pane="bottomLeft" activeCell="A7" sqref="A7"/>
      <selection pane="bottomRight" activeCell="A18" sqref="A18:XFD20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9" t="s">
        <v>51</v>
      </c>
      <c r="F2" s="59"/>
      <c r="G2" s="59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80" t="s">
        <v>42</v>
      </c>
      <c r="B4" s="74" t="s">
        <v>40</v>
      </c>
      <c r="C4" s="75"/>
      <c r="D4" s="75"/>
      <c r="E4" s="76"/>
      <c r="F4" s="60" t="s">
        <v>27</v>
      </c>
      <c r="G4" s="61"/>
      <c r="H4" s="61"/>
      <c r="I4" s="61"/>
      <c r="J4" s="61"/>
      <c r="K4" s="61"/>
      <c r="L4" s="61"/>
      <c r="M4" s="61"/>
      <c r="N4" s="61"/>
      <c r="O4" s="62"/>
      <c r="P4" s="60"/>
      <c r="Q4" s="61"/>
      <c r="R4" s="61"/>
      <c r="S4" s="61"/>
      <c r="T4" s="61"/>
      <c r="U4" s="71" t="s">
        <v>41</v>
      </c>
      <c r="V4" s="25"/>
    </row>
    <row r="5" spans="1:22" s="26" customFormat="1" ht="18">
      <c r="A5" s="81"/>
      <c r="B5" s="77"/>
      <c r="C5" s="78"/>
      <c r="D5" s="78"/>
      <c r="E5" s="79"/>
      <c r="F5" s="60" t="s">
        <v>28</v>
      </c>
      <c r="G5" s="61"/>
      <c r="H5" s="61"/>
      <c r="I5" s="61"/>
      <c r="J5" s="61"/>
      <c r="K5" s="61"/>
      <c r="L5" s="61"/>
      <c r="M5" s="61"/>
      <c r="N5" s="61"/>
      <c r="O5" s="62"/>
      <c r="P5" s="60" t="s">
        <v>39</v>
      </c>
      <c r="Q5" s="61"/>
      <c r="R5" s="61"/>
      <c r="S5" s="61"/>
      <c r="T5" s="69" t="s">
        <v>0</v>
      </c>
      <c r="U5" s="72"/>
      <c r="V5" s="27"/>
    </row>
    <row r="6" spans="1:22" s="26" customFormat="1" ht="90">
      <c r="A6" s="82"/>
      <c r="B6" s="42" t="s">
        <v>9</v>
      </c>
      <c r="C6" s="43" t="s">
        <v>43</v>
      </c>
      <c r="D6" s="43" t="s">
        <v>58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70"/>
      <c r="U6" s="73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7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63" t="s">
        <v>54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V18" s="34"/>
    </row>
    <row r="19" spans="1:22" s="35" customFormat="1" ht="15.75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  <c r="V19" s="34"/>
    </row>
    <row r="20" spans="1:22" s="35" customFormat="1" ht="15.75">
      <c r="A20" s="56" t="s">
        <v>52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/>
      <c r="V20" s="34"/>
    </row>
    <row r="75" spans="1:20">
      <c r="A75" s="2"/>
      <c r="B75" s="6"/>
      <c r="C75" s="6"/>
      <c r="D75" s="3"/>
      <c r="E75" s="6"/>
      <c r="F75" s="6"/>
      <c r="G75" s="6"/>
      <c r="H75" s="6"/>
      <c r="I75" s="6"/>
      <c r="J75" s="6"/>
      <c r="K75" s="4"/>
      <c r="L75" s="6"/>
      <c r="M75" s="3"/>
      <c r="N75" s="4"/>
      <c r="O75" s="7"/>
      <c r="P75" s="4"/>
      <c r="Q75" s="4"/>
      <c r="R75" s="3"/>
      <c r="S75" s="3"/>
      <c r="T75" s="3"/>
    </row>
    <row r="76" spans="1:20">
      <c r="A76" s="2"/>
      <c r="B76" s="6"/>
      <c r="C76" s="6"/>
      <c r="D76" s="3"/>
      <c r="E76" s="6"/>
      <c r="F76" s="6"/>
      <c r="G76" s="6"/>
      <c r="H76" s="6"/>
      <c r="I76" s="6"/>
      <c r="J76" s="6"/>
      <c r="K76" s="4"/>
      <c r="L76" s="6"/>
      <c r="M76" s="3"/>
      <c r="N76" s="4"/>
      <c r="O76" s="7"/>
      <c r="P76" s="4"/>
      <c r="Q76" s="4"/>
      <c r="R76" s="3"/>
      <c r="S76" s="3"/>
      <c r="T76" s="3"/>
    </row>
    <row r="77" spans="1:20">
      <c r="A77" s="2"/>
      <c r="B77" s="6"/>
      <c r="C77" s="6"/>
      <c r="D77" s="3"/>
      <c r="E77" s="6"/>
      <c r="F77" s="6"/>
      <c r="G77" s="6"/>
      <c r="H77" s="6"/>
      <c r="I77" s="6"/>
      <c r="J77" s="6"/>
      <c r="K77" s="4"/>
      <c r="L77" s="6"/>
      <c r="M77" s="3"/>
      <c r="N77" s="4"/>
      <c r="O77" s="7"/>
      <c r="P77" s="4"/>
      <c r="Q77" s="4"/>
      <c r="R77" s="3"/>
      <c r="S77" s="3"/>
      <c r="T77" s="3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5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5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5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</sheetData>
  <mergeCells count="11">
    <mergeCell ref="A20:U20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8:U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2019-11-14T14:25:10Z</dcterms:modified>
</cp:coreProperties>
</file>