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9" i="7" l="1"/>
  <c r="S19" i="7" s="1"/>
  <c r="L19" i="7"/>
  <c r="O19" i="7" s="1"/>
  <c r="T19" i="7" s="1"/>
  <c r="I19" i="7"/>
  <c r="E19" i="7"/>
  <c r="Q59" i="6"/>
  <c r="P59" i="6"/>
  <c r="I59" i="6"/>
  <c r="G59" i="6"/>
  <c r="L59" i="6" s="1"/>
  <c r="O59" i="6" s="1"/>
  <c r="E59" i="6"/>
  <c r="C59" i="6"/>
  <c r="B59" i="6"/>
  <c r="S58" i="6"/>
  <c r="P58" i="6"/>
  <c r="L58" i="6"/>
  <c r="O58" i="6" s="1"/>
  <c r="I58" i="6"/>
  <c r="E58" i="6"/>
  <c r="S57" i="6"/>
  <c r="P57" i="6"/>
  <c r="I57" i="6"/>
  <c r="L57" i="6" s="1"/>
  <c r="O57" i="6" s="1"/>
  <c r="T57" i="6" s="1"/>
  <c r="U57" i="6" s="1"/>
  <c r="E57" i="6"/>
  <c r="S56" i="6"/>
  <c r="Q56" i="6"/>
  <c r="P56" i="6"/>
  <c r="I56" i="6"/>
  <c r="G56" i="6"/>
  <c r="C56" i="6"/>
  <c r="B56" i="6"/>
  <c r="Q55" i="6"/>
  <c r="P55" i="6"/>
  <c r="S55" i="6" s="1"/>
  <c r="I55" i="6"/>
  <c r="G55" i="6"/>
  <c r="L55" i="6" s="1"/>
  <c r="O55" i="6" s="1"/>
  <c r="C55" i="6"/>
  <c r="B55" i="6"/>
  <c r="E55" i="6" s="1"/>
  <c r="Q165" i="5"/>
  <c r="P165" i="5"/>
  <c r="S165" i="5" s="1"/>
  <c r="I165" i="5"/>
  <c r="G165" i="5"/>
  <c r="L165" i="5" s="1"/>
  <c r="O165" i="5" s="1"/>
  <c r="C165" i="5"/>
  <c r="E165" i="5" s="1"/>
  <c r="B165" i="5"/>
  <c r="Q164" i="5"/>
  <c r="P164" i="5"/>
  <c r="S164" i="5" s="1"/>
  <c r="I164" i="5"/>
  <c r="G164" i="5"/>
  <c r="E164" i="5"/>
  <c r="Q163" i="5"/>
  <c r="P163" i="5"/>
  <c r="I163" i="5"/>
  <c r="G163" i="5"/>
  <c r="E163" i="5"/>
  <c r="P162" i="5"/>
  <c r="S162" i="5" s="1"/>
  <c r="I162" i="5"/>
  <c r="L162" i="5" s="1"/>
  <c r="O162" i="5" s="1"/>
  <c r="T162" i="5" s="1"/>
  <c r="E162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T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Q157" i="5"/>
  <c r="P157" i="5"/>
  <c r="S157" i="5" s="1"/>
  <c r="I157" i="5"/>
  <c r="G157" i="5"/>
  <c r="L157" i="5" s="1"/>
  <c r="O157" i="5" s="1"/>
  <c r="C157" i="5"/>
  <c r="E157" i="5" s="1"/>
  <c r="B157" i="5"/>
  <c r="Q156" i="5"/>
  <c r="P156" i="5"/>
  <c r="S156" i="5" s="1"/>
  <c r="I156" i="5"/>
  <c r="G156" i="5"/>
  <c r="C156" i="5"/>
  <c r="B156" i="5"/>
  <c r="E156" i="5" s="1"/>
  <c r="Q155" i="5"/>
  <c r="P155" i="5"/>
  <c r="I155" i="5"/>
  <c r="G155" i="5"/>
  <c r="L155" i="5" s="1"/>
  <c r="O155" i="5" s="1"/>
  <c r="E155" i="5"/>
  <c r="C155" i="5"/>
  <c r="B155" i="5"/>
  <c r="Q154" i="5"/>
  <c r="P154" i="5"/>
  <c r="S154" i="5" s="1"/>
  <c r="I154" i="5"/>
  <c r="G154" i="5"/>
  <c r="L154" i="5" s="1"/>
  <c r="O154" i="5" s="1"/>
  <c r="C154" i="5"/>
  <c r="B154" i="5"/>
  <c r="E154" i="5" s="1"/>
  <c r="Q153" i="5"/>
  <c r="P153" i="5"/>
  <c r="S153" i="5" s="1"/>
  <c r="I153" i="5"/>
  <c r="G153" i="5"/>
  <c r="L153" i="5" s="1"/>
  <c r="O153" i="5" s="1"/>
  <c r="T153" i="5" s="1"/>
  <c r="C153" i="5"/>
  <c r="B153" i="5"/>
  <c r="E153" i="5" s="1"/>
  <c r="U153" i="5" s="1"/>
  <c r="Q152" i="5"/>
  <c r="P152" i="5"/>
  <c r="I152" i="5"/>
  <c r="G152" i="5"/>
  <c r="L152" i="5" s="1"/>
  <c r="O152" i="5" s="1"/>
  <c r="C152" i="5"/>
  <c r="B152" i="5"/>
  <c r="Q151" i="5"/>
  <c r="P151" i="5"/>
  <c r="S151" i="5" s="1"/>
  <c r="I151" i="5"/>
  <c r="G151" i="5"/>
  <c r="C151" i="5"/>
  <c r="E151" i="5" s="1"/>
  <c r="U19" i="7" l="1"/>
  <c r="T59" i="6"/>
  <c r="U59" i="6" s="1"/>
  <c r="E56" i="6"/>
  <c r="U56" i="6" s="1"/>
  <c r="L56" i="6"/>
  <c r="O56" i="6" s="1"/>
  <c r="T56" i="6" s="1"/>
  <c r="T58" i="6"/>
  <c r="U58" i="6" s="1"/>
  <c r="S59" i="6"/>
  <c r="T55" i="6"/>
  <c r="U55" i="6" s="1"/>
  <c r="U151" i="5"/>
  <c r="U157" i="5"/>
  <c r="T157" i="5"/>
  <c r="L151" i="5"/>
  <c r="O151" i="5" s="1"/>
  <c r="T151" i="5" s="1"/>
  <c r="S152" i="5"/>
  <c r="T152" i="5" s="1"/>
  <c r="L156" i="5"/>
  <c r="O156" i="5" s="1"/>
  <c r="T156" i="5" s="1"/>
  <c r="U156" i="5" s="1"/>
  <c r="L163" i="5"/>
  <c r="O163" i="5" s="1"/>
  <c r="T163" i="5" s="1"/>
  <c r="U163" i="5" s="1"/>
  <c r="S163" i="5"/>
  <c r="E152" i="5"/>
  <c r="S155" i="5"/>
  <c r="T155" i="5" s="1"/>
  <c r="U155" i="5" s="1"/>
  <c r="T158" i="5"/>
  <c r="U158" i="5" s="1"/>
  <c r="L164" i="5"/>
  <c r="O164" i="5" s="1"/>
  <c r="T164" i="5" s="1"/>
  <c r="T159" i="5"/>
  <c r="U159" i="5" s="1"/>
  <c r="T161" i="5"/>
  <c r="U161" i="5" s="1"/>
  <c r="U160" i="5"/>
  <c r="U162" i="5"/>
  <c r="T154" i="5"/>
  <c r="U154" i="5" s="1"/>
  <c r="U164" i="5"/>
  <c r="T165" i="5"/>
  <c r="U165" i="5" s="1"/>
  <c r="P54" i="6"/>
  <c r="S54" i="6" s="1"/>
  <c r="G54" i="6"/>
  <c r="L54" i="6" s="1"/>
  <c r="O54" i="6" s="1"/>
  <c r="E54" i="6"/>
  <c r="Q53" i="6"/>
  <c r="P53" i="6"/>
  <c r="G53" i="6"/>
  <c r="L53" i="6" s="1"/>
  <c r="O53" i="6" s="1"/>
  <c r="C53" i="6"/>
  <c r="B53" i="6"/>
  <c r="P52" i="6"/>
  <c r="S52" i="6" s="1"/>
  <c r="G52" i="6"/>
  <c r="L52" i="6" s="1"/>
  <c r="O52" i="6" s="1"/>
  <c r="C52" i="6"/>
  <c r="B52" i="6"/>
  <c r="S51" i="6"/>
  <c r="G51" i="6"/>
  <c r="L51" i="6" s="1"/>
  <c r="O51" i="6" s="1"/>
  <c r="E51" i="6"/>
  <c r="P150" i="5"/>
  <c r="S150" i="5" s="1"/>
  <c r="G150" i="5"/>
  <c r="L150" i="5" s="1"/>
  <c r="O150" i="5" s="1"/>
  <c r="E150" i="5"/>
  <c r="P149" i="5"/>
  <c r="S149" i="5" s="1"/>
  <c r="G149" i="5"/>
  <c r="L149" i="5" s="1"/>
  <c r="O149" i="5" s="1"/>
  <c r="C149" i="5"/>
  <c r="B149" i="5"/>
  <c r="P148" i="5"/>
  <c r="S148" i="5" s="1"/>
  <c r="G148" i="5"/>
  <c r="L148" i="5" s="1"/>
  <c r="O148" i="5" s="1"/>
  <c r="C148" i="5"/>
  <c r="B148" i="5"/>
  <c r="E148" i="5" s="1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P144" i="5"/>
  <c r="S144" i="5" s="1"/>
  <c r="G144" i="5"/>
  <c r="L144" i="5" s="1"/>
  <c r="O144" i="5" s="1"/>
  <c r="T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3" i="5" l="1"/>
  <c r="E149" i="5"/>
  <c r="T142" i="5"/>
  <c r="S147" i="5"/>
  <c r="T147" i="5" s="1"/>
  <c r="U147" i="5" s="1"/>
  <c r="T149" i="5"/>
  <c r="U149" i="5" s="1"/>
  <c r="U152" i="5"/>
  <c r="E143" i="5"/>
  <c r="T146" i="5"/>
  <c r="E52" i="6"/>
  <c r="E53" i="6"/>
  <c r="T51" i="6"/>
  <c r="U51" i="6" s="1"/>
  <c r="T52" i="6"/>
  <c r="U52" i="6" s="1"/>
  <c r="S53" i="6"/>
  <c r="T53" i="6" s="1"/>
  <c r="T54" i="6"/>
  <c r="U54" i="6" s="1"/>
  <c r="E144" i="5"/>
  <c r="U144" i="5" s="1"/>
  <c r="E146" i="5"/>
  <c r="U140" i="5"/>
  <c r="T145" i="5"/>
  <c r="E142" i="5"/>
  <c r="U142" i="5" s="1"/>
  <c r="E145" i="5"/>
  <c r="U145" i="5" s="1"/>
  <c r="T139" i="5"/>
  <c r="U139" i="5" s="1"/>
  <c r="E147" i="5"/>
  <c r="U141" i="5"/>
  <c r="T148" i="5"/>
  <c r="U148" i="5" s="1"/>
  <c r="T150" i="5"/>
  <c r="U150" i="5" s="1"/>
  <c r="U143" i="5" l="1"/>
  <c r="U146" i="5"/>
  <c r="U53" i="6"/>
  <c r="P18" i="7" l="1"/>
  <c r="S18" i="7" s="1"/>
  <c r="G18" i="7"/>
  <c r="L18" i="7" s="1"/>
  <c r="O18" i="7" s="1"/>
  <c r="E18" i="7"/>
  <c r="T18" i="7" l="1"/>
  <c r="U18" i="7" s="1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31" i="5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U107" i="5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<sst xmlns="http://schemas.openxmlformats.org/spreadsheetml/2006/main" count="416" uniqueCount="83">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</sst>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8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  <xf numFmtId="171" fontId="12" fillId="0" borderId="10" xfId="0" applyNumberFormat="1" applyFont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5" workbookViewId="0">
      <selection activeCell="F16" sqref="F16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44286</v>
      </c>
    </row>
    <row r="13" spans="2:5">
      <c r="B13" s="37" t="s">
        <v>17</v>
      </c>
      <c r="C13" s="14" t="s">
        <v>23</v>
      </c>
      <c r="D13" s="14" t="s">
        <v>17</v>
      </c>
      <c r="E13" s="16" t="s">
        <v>79</v>
      </c>
    </row>
    <row r="14" spans="2:5">
      <c r="B14" s="37" t="s">
        <v>18</v>
      </c>
      <c r="C14" s="14" t="s">
        <v>24</v>
      </c>
      <c r="D14" s="14" t="s">
        <v>18</v>
      </c>
      <c r="E14" s="15" t="s">
        <v>74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68"/>
  <sheetViews>
    <sheetView tabSelected="1" workbookViewId="0">
      <pane xSplit="1" ySplit="6" topLeftCell="B156" activePane="bottomRight" state="frozen"/>
      <selection pane="topRight" activeCell="B1" sqref="B1"/>
      <selection pane="bottomLeft" activeCell="A7" sqref="A7"/>
      <selection pane="bottomRight" activeCell="A151" sqref="A151:A165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57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57" si="20">+SUM(F139:K139)</f>
        <v>1779922.6</v>
      </c>
      <c r="M139" s="30">
        <v>370633.2</v>
      </c>
      <c r="N139" s="29">
        <v>61052.1</v>
      </c>
      <c r="O139" s="31">
        <f t="shared" ref="O139:O165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65" si="23">SUM(O139,S139)</f>
        <v>2367805.4</v>
      </c>
      <c r="U139" s="29">
        <f t="shared" ref="U139:U165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65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8">
      <c r="A145" s="47" t="s">
        <v>58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si="19"/>
        <v>-234029.10000000003</v>
      </c>
      <c r="F145" s="30">
        <v>158917.5</v>
      </c>
      <c r="G145" s="30">
        <f>43953+1112283.8+13837</f>
        <v>1170073.8</v>
      </c>
      <c r="H145" s="30"/>
      <c r="I145" s="30">
        <v>59569.2</v>
      </c>
      <c r="J145" s="30">
        <v>30652.7</v>
      </c>
      <c r="K145" s="30">
        <v>512829.7</v>
      </c>
      <c r="L145" s="31">
        <f t="shared" si="20"/>
        <v>1932042.9</v>
      </c>
      <c r="M145" s="30">
        <v>385962.8</v>
      </c>
      <c r="N145" s="29">
        <v>69016.7</v>
      </c>
      <c r="O145" s="31">
        <f t="shared" si="21"/>
        <v>1477063.4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2620666.5333333332</v>
      </c>
      <c r="U145" s="29">
        <f t="shared" si="24"/>
        <v>2386637.4333333331</v>
      </c>
    </row>
    <row r="146" spans="1:21" s="35" customFormat="1" ht="18">
      <c r="A146" s="47" t="s">
        <v>59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19"/>
        <v>-242519.69999999998</v>
      </c>
      <c r="F146" s="30">
        <v>0</v>
      </c>
      <c r="G146" s="30">
        <f>44613+1152737.1+15106</f>
        <v>1212456.1000000001</v>
      </c>
      <c r="H146" s="30"/>
      <c r="I146" s="30">
        <v>59899.3</v>
      </c>
      <c r="J146" s="30">
        <v>30652.7</v>
      </c>
      <c r="K146" s="30">
        <v>728838.8</v>
      </c>
      <c r="L146" s="31">
        <f t="shared" si="20"/>
        <v>2031846.9000000001</v>
      </c>
      <c r="M146" s="30">
        <v>467552.1</v>
      </c>
      <c r="N146" s="29">
        <v>76766.3</v>
      </c>
      <c r="O146" s="31">
        <f t="shared" si="21"/>
        <v>1487528.5000000002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2641463.9666666668</v>
      </c>
      <c r="U146" s="29">
        <f t="shared" si="24"/>
        <v>2398944.2666666666</v>
      </c>
    </row>
    <row r="147" spans="1:21" s="35" customFormat="1" ht="18">
      <c r="A147" s="47" t="s">
        <v>60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19"/>
        <v>-227582.3</v>
      </c>
      <c r="F147" s="30">
        <v>0</v>
      </c>
      <c r="G147" s="30">
        <f>52783.1+1160384.5+28225</f>
        <v>1241392.6000000001</v>
      </c>
      <c r="H147" s="30"/>
      <c r="I147" s="30">
        <v>66552.3</v>
      </c>
      <c r="J147" s="30">
        <v>29259.4</v>
      </c>
      <c r="K147" s="30">
        <v>727629.7</v>
      </c>
      <c r="L147" s="31">
        <f t="shared" si="20"/>
        <v>2064834</v>
      </c>
      <c r="M147" s="30">
        <v>478795.5</v>
      </c>
      <c r="N147" s="29">
        <v>82107.899999999994</v>
      </c>
      <c r="O147" s="31">
        <f t="shared" si="21"/>
        <v>1503930.6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2683638.7000000002</v>
      </c>
      <c r="U147" s="29">
        <f t="shared" si="24"/>
        <v>2456056.4000000004</v>
      </c>
    </row>
    <row r="148" spans="1:21" s="35" customFormat="1" ht="18">
      <c r="A148" s="47" t="s">
        <v>61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19"/>
        <v>-236232.9</v>
      </c>
      <c r="F148" s="30">
        <v>0</v>
      </c>
      <c r="G148" s="30">
        <f>53363+1194779.6+32675</f>
        <v>1280817.6000000001</v>
      </c>
      <c r="H148" s="30"/>
      <c r="I148" s="30">
        <v>78529.600000000006</v>
      </c>
      <c r="J148" s="30">
        <v>26472.7</v>
      </c>
      <c r="K148" s="30">
        <v>725211.5</v>
      </c>
      <c r="L148" s="31">
        <f t="shared" si="20"/>
        <v>2111031.4000000004</v>
      </c>
      <c r="M148" s="30">
        <v>498832</v>
      </c>
      <c r="N148" s="29">
        <v>93562</v>
      </c>
      <c r="O148" s="31">
        <f t="shared" si="21"/>
        <v>1518637.4000000004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2714331.8000000003</v>
      </c>
      <c r="U148" s="29">
        <f t="shared" si="24"/>
        <v>2478098.9000000004</v>
      </c>
    </row>
    <row r="149" spans="1:21" s="35" customFormat="1" ht="18">
      <c r="A149" s="47" t="s">
        <v>62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19"/>
        <v>-254451</v>
      </c>
      <c r="F149" s="30">
        <v>0</v>
      </c>
      <c r="G149" s="30">
        <f>53183+1221678.4+39075</f>
        <v>1313936.3999999999</v>
      </c>
      <c r="H149" s="30"/>
      <c r="I149" s="30">
        <v>75442.400000000009</v>
      </c>
      <c r="J149" s="30">
        <v>25079.5</v>
      </c>
      <c r="K149" s="30">
        <v>724002.3</v>
      </c>
      <c r="L149" s="31">
        <f t="shared" si="20"/>
        <v>2138460.5999999996</v>
      </c>
      <c r="M149" s="30">
        <v>490631.8</v>
      </c>
      <c r="N149" s="29">
        <v>94982.5</v>
      </c>
      <c r="O149" s="31">
        <f t="shared" si="21"/>
        <v>1552846.2999999996</v>
      </c>
      <c r="P149" s="36">
        <f>25813.2+101.6</f>
        <v>25914.799999999999</v>
      </c>
      <c r="Q149" s="31">
        <v>1198837.8999999999</v>
      </c>
      <c r="R149" s="31">
        <v>496</v>
      </c>
      <c r="S149" s="29">
        <f t="shared" si="27"/>
        <v>1225248.7</v>
      </c>
      <c r="T149" s="33">
        <f t="shared" si="23"/>
        <v>2778094.9999999995</v>
      </c>
      <c r="U149" s="29">
        <f t="shared" si="24"/>
        <v>2523643.9999999995</v>
      </c>
    </row>
    <row r="150" spans="1:21" s="35" customFormat="1" ht="18">
      <c r="A150" s="47" t="s">
        <v>63</v>
      </c>
      <c r="B150" s="30">
        <v>-129390.7</v>
      </c>
      <c r="C150" s="30">
        <v>-76949.600000000006</v>
      </c>
      <c r="D150" s="30" t="s">
        <v>1</v>
      </c>
      <c r="E150" s="29">
        <f t="shared" si="19"/>
        <v>-206340.3</v>
      </c>
      <c r="F150" s="30">
        <v>0</v>
      </c>
      <c r="G150" s="30">
        <f>57683+1228622.8+55165.1</f>
        <v>1341470.9000000001</v>
      </c>
      <c r="H150" s="30"/>
      <c r="I150" s="30">
        <v>73356.899999999994</v>
      </c>
      <c r="J150" s="30">
        <v>23686.2</v>
      </c>
      <c r="K150" s="30">
        <v>722793.2</v>
      </c>
      <c r="L150" s="31">
        <f t="shared" si="20"/>
        <v>2161307.2000000002</v>
      </c>
      <c r="M150" s="30">
        <v>443910.5</v>
      </c>
      <c r="N150" s="29">
        <v>95938.2</v>
      </c>
      <c r="O150" s="31">
        <f t="shared" si="21"/>
        <v>1621458.5000000002</v>
      </c>
      <c r="P150" s="36">
        <f>42076.6+101.6</f>
        <v>42178.2</v>
      </c>
      <c r="Q150" s="31">
        <v>1165927.2000000002</v>
      </c>
      <c r="R150" s="31">
        <v>458.5</v>
      </c>
      <c r="S150" s="29">
        <f t="shared" si="27"/>
        <v>1208563.9000000001</v>
      </c>
      <c r="T150" s="33">
        <f t="shared" si="23"/>
        <v>2830022.4000000004</v>
      </c>
      <c r="U150" s="29">
        <f t="shared" si="24"/>
        <v>2623682.1000000006</v>
      </c>
    </row>
    <row r="151" spans="1:21" s="35" customFormat="1" ht="18">
      <c r="A151" s="47" t="s">
        <v>64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19"/>
        <v>-315268.80000000005</v>
      </c>
      <c r="F151" s="30">
        <v>0</v>
      </c>
      <c r="G151" s="30">
        <f>58183+1259952.3+60781.1</f>
        <v>1378916.4000000001</v>
      </c>
      <c r="H151" s="30"/>
      <c r="I151" s="30">
        <f>18507.3+102288.1</f>
        <v>120795.40000000001</v>
      </c>
      <c r="J151" s="30">
        <v>23686.1</v>
      </c>
      <c r="K151" s="30">
        <v>722793.2</v>
      </c>
      <c r="L151" s="31">
        <f t="shared" si="20"/>
        <v>2246191.1</v>
      </c>
      <c r="M151" s="30">
        <v>447113.3</v>
      </c>
      <c r="N151" s="29">
        <v>97728.6</v>
      </c>
      <c r="O151" s="31">
        <f t="shared" si="21"/>
        <v>1701349.2</v>
      </c>
      <c r="P151" s="36">
        <f>37419.8+101.6</f>
        <v>37521.4</v>
      </c>
      <c r="Q151" s="31">
        <f>1140255.6+4738.9+51103.3</f>
        <v>1196097.8</v>
      </c>
      <c r="R151" s="31">
        <v>370.8</v>
      </c>
      <c r="S151" s="29">
        <f t="shared" si="27"/>
        <v>1233990</v>
      </c>
      <c r="T151" s="33">
        <f t="shared" si="23"/>
        <v>2935339.2</v>
      </c>
      <c r="U151" s="29">
        <f t="shared" si="24"/>
        <v>2620070.4000000004</v>
      </c>
    </row>
    <row r="152" spans="1:21" s="35" customFormat="1" ht="18">
      <c r="A152" s="47" t="s">
        <v>66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19"/>
        <v>-244581.00000000003</v>
      </c>
      <c r="F152" s="30">
        <v>0</v>
      </c>
      <c r="G152" s="30">
        <f>57464.1+1268439.4+61016.5</f>
        <v>1386920</v>
      </c>
      <c r="H152" s="30"/>
      <c r="I152" s="30">
        <f>18507.3+102880.8</f>
        <v>121388.1</v>
      </c>
      <c r="J152" s="30">
        <v>22292.799999999999</v>
      </c>
      <c r="K152" s="30">
        <v>721584.1</v>
      </c>
      <c r="L152" s="31">
        <f t="shared" si="20"/>
        <v>2252185</v>
      </c>
      <c r="M152" s="30">
        <v>456925.6</v>
      </c>
      <c r="N152" s="29">
        <v>96011.1</v>
      </c>
      <c r="O152" s="31">
        <f t="shared" si="21"/>
        <v>1699248.2999999998</v>
      </c>
      <c r="P152" s="36">
        <f>34652.5+101.6</f>
        <v>34754.1</v>
      </c>
      <c r="Q152" s="31">
        <f>1130849.3+4802.7+49335.8</f>
        <v>1184987.8</v>
      </c>
      <c r="R152" s="31">
        <v>327</v>
      </c>
      <c r="S152" s="29">
        <f t="shared" si="27"/>
        <v>1220068.9000000001</v>
      </c>
      <c r="T152" s="33">
        <f t="shared" si="23"/>
        <v>2919317.2</v>
      </c>
      <c r="U152" s="29">
        <f t="shared" si="24"/>
        <v>2674736.2000000002</v>
      </c>
    </row>
    <row r="153" spans="1:21" s="35" customFormat="1" ht="18">
      <c r="A153" s="47" t="s">
        <v>67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19"/>
        <v>-284837.5</v>
      </c>
      <c r="F153" s="30">
        <v>0</v>
      </c>
      <c r="G153" s="30">
        <f>51183+1270664.1+59841.5</f>
        <v>1381688.6</v>
      </c>
      <c r="H153" s="30"/>
      <c r="I153" s="30">
        <f>18507.3+103560.4</f>
        <v>122067.7</v>
      </c>
      <c r="J153" s="30">
        <v>19506.2</v>
      </c>
      <c r="K153" s="30">
        <v>719165.8</v>
      </c>
      <c r="L153" s="31">
        <f t="shared" si="20"/>
        <v>2242428.2999999998</v>
      </c>
      <c r="M153" s="30">
        <v>503862</v>
      </c>
      <c r="N153" s="29">
        <v>77027.199999999997</v>
      </c>
      <c r="O153" s="31">
        <f t="shared" si="21"/>
        <v>1661539.0999999999</v>
      </c>
      <c r="P153" s="36">
        <f>32138.3+101.6</f>
        <v>32239.899999999998</v>
      </c>
      <c r="Q153" s="31">
        <f>1159740.9+4846.3+47836</f>
        <v>1212423.2</v>
      </c>
      <c r="R153" s="31">
        <v>342.2</v>
      </c>
      <c r="S153" s="29">
        <f t="shared" si="27"/>
        <v>1245005.2999999998</v>
      </c>
      <c r="T153" s="33">
        <f t="shared" si="23"/>
        <v>2906544.3999999994</v>
      </c>
      <c r="U153" s="29">
        <f t="shared" si="24"/>
        <v>2621706.8999999994</v>
      </c>
    </row>
    <row r="154" spans="1:21" s="35" customFormat="1" ht="18">
      <c r="A154" s="47" t="s">
        <v>68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19"/>
        <v>-306201.10000000003</v>
      </c>
      <c r="F154" s="30">
        <v>0</v>
      </c>
      <c r="G154" s="30">
        <f>50533.1+1285753.9+49093.9</f>
        <v>1385380.9</v>
      </c>
      <c r="H154" s="30"/>
      <c r="I154" s="30">
        <f>18507.3+104228.7</f>
        <v>122736</v>
      </c>
      <c r="J154" s="30">
        <v>18112.900000000001</v>
      </c>
      <c r="K154" s="30">
        <v>717956.7</v>
      </c>
      <c r="L154" s="31">
        <f t="shared" si="20"/>
        <v>2244186.5</v>
      </c>
      <c r="M154" s="30">
        <v>464273.2</v>
      </c>
      <c r="N154" s="29">
        <v>73644.3</v>
      </c>
      <c r="O154" s="31">
        <f t="shared" si="21"/>
        <v>1706269</v>
      </c>
      <c r="P154" s="36">
        <f>33552.3+101.6</f>
        <v>33653.9</v>
      </c>
      <c r="Q154" s="31">
        <f>1165810.8+4873.8+44060.8</f>
        <v>1214745.4000000001</v>
      </c>
      <c r="R154" s="31">
        <v>357.29999999999995</v>
      </c>
      <c r="S154" s="29">
        <f t="shared" si="27"/>
        <v>1248756.6000000001</v>
      </c>
      <c r="T154" s="33">
        <f t="shared" si="23"/>
        <v>2955025.6</v>
      </c>
      <c r="U154" s="29">
        <f t="shared" si="24"/>
        <v>2648824.5</v>
      </c>
    </row>
    <row r="155" spans="1:21" s="35" customFormat="1" ht="18">
      <c r="A155" s="47" t="s">
        <v>69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19"/>
        <v>-340584.39999999997</v>
      </c>
      <c r="F155" s="30">
        <v>0</v>
      </c>
      <c r="G155" s="30">
        <f>64033.1+1297860.1+49605.6</f>
        <v>1411498.8000000003</v>
      </c>
      <c r="H155" s="30"/>
      <c r="I155" s="30">
        <f>18507.3+97709.7+1852.2</f>
        <v>118069.2</v>
      </c>
      <c r="J155" s="30">
        <v>18112.900000000001</v>
      </c>
      <c r="K155" s="30">
        <v>717956.7</v>
      </c>
      <c r="L155" s="31">
        <f t="shared" si="20"/>
        <v>2265637.6</v>
      </c>
      <c r="M155" s="30">
        <v>499649.2</v>
      </c>
      <c r="N155" s="29">
        <v>75206.899999999994</v>
      </c>
      <c r="O155" s="31">
        <f t="shared" si="21"/>
        <v>1690781.5000000002</v>
      </c>
      <c r="P155" s="36">
        <f>30459.2+101.6</f>
        <v>30560.799999999999</v>
      </c>
      <c r="Q155" s="31">
        <f>1229771.4+4901.3+47824.9</f>
        <v>1282497.5999999999</v>
      </c>
      <c r="R155" s="31">
        <v>552.5</v>
      </c>
      <c r="S155" s="29">
        <f t="shared" si="27"/>
        <v>1313610.8999999999</v>
      </c>
      <c r="T155" s="33">
        <f t="shared" si="23"/>
        <v>3004392.4000000004</v>
      </c>
      <c r="U155" s="29">
        <f t="shared" si="24"/>
        <v>2663808.0000000005</v>
      </c>
    </row>
    <row r="156" spans="1:21" s="35" customFormat="1" ht="18">
      <c r="A156" s="47" t="s">
        <v>70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19"/>
        <v>-333131.59999999998</v>
      </c>
      <c r="F156" s="30">
        <v>0</v>
      </c>
      <c r="G156" s="30">
        <f>59283+1350702.5+59204.6</f>
        <v>1469190.1</v>
      </c>
      <c r="H156" s="30"/>
      <c r="I156" s="30">
        <f>18507.3+98487+5357.5</f>
        <v>122351.8</v>
      </c>
      <c r="J156" s="30">
        <v>15326.3</v>
      </c>
      <c r="K156" s="30">
        <v>715538.4</v>
      </c>
      <c r="L156" s="31">
        <f t="shared" si="20"/>
        <v>2322406.6</v>
      </c>
      <c r="M156" s="30">
        <v>441278.2</v>
      </c>
      <c r="N156" s="29">
        <v>86594.1</v>
      </c>
      <c r="O156" s="31">
        <f t="shared" si="21"/>
        <v>1794534.3</v>
      </c>
      <c r="P156" s="36">
        <f>29576.4+101.6</f>
        <v>29678</v>
      </c>
      <c r="Q156" s="31">
        <f>1231019.2+4928.8+46930.1</f>
        <v>1282878.1000000001</v>
      </c>
      <c r="R156" s="31">
        <v>328.2</v>
      </c>
      <c r="S156" s="29">
        <f t="shared" si="27"/>
        <v>1312884.3</v>
      </c>
      <c r="T156" s="33">
        <f t="shared" si="23"/>
        <v>3107418.6</v>
      </c>
      <c r="U156" s="29">
        <f t="shared" si="24"/>
        <v>2774287</v>
      </c>
    </row>
    <row r="157" spans="1:21" s="35" customFormat="1" ht="18">
      <c r="A157" s="47" t="s">
        <v>71</v>
      </c>
      <c r="B157" s="30">
        <f>201052.3-365768.2</f>
        <v>-164715.90000000002</v>
      </c>
      <c r="C157" s="30">
        <f>131329.1-279283.7</f>
        <v>-147954.6</v>
      </c>
      <c r="D157" s="30" t="s">
        <v>1</v>
      </c>
      <c r="E157" s="29">
        <f t="shared" si="19"/>
        <v>-312670.5</v>
      </c>
      <c r="F157" s="30">
        <v>0</v>
      </c>
      <c r="G157" s="30">
        <f>53583+1382662.1+63639.5</f>
        <v>1499884.6</v>
      </c>
      <c r="H157" s="30"/>
      <c r="I157" s="30">
        <f>18507.3+97665+9362.2</f>
        <v>125534.5</v>
      </c>
      <c r="J157" s="30">
        <v>13933</v>
      </c>
      <c r="K157" s="30">
        <v>714329.3</v>
      </c>
      <c r="L157" s="31">
        <f t="shared" si="20"/>
        <v>2353681.4000000004</v>
      </c>
      <c r="M157" s="30">
        <v>490256.73333333299</v>
      </c>
      <c r="N157" s="29">
        <v>87632.4</v>
      </c>
      <c r="O157" s="31">
        <f t="shared" si="21"/>
        <v>1775792.2666666675</v>
      </c>
      <c r="P157" s="36">
        <f>27282+101.6</f>
        <v>27383.599999999999</v>
      </c>
      <c r="Q157" s="31">
        <f>1286576.7+16134.5+50854</f>
        <v>1353565.2</v>
      </c>
      <c r="R157" s="31">
        <v>226.5</v>
      </c>
      <c r="S157" s="29">
        <f t="shared" si="27"/>
        <v>1381175.3</v>
      </c>
      <c r="T157" s="33">
        <f t="shared" si="23"/>
        <v>3156967.5666666673</v>
      </c>
      <c r="U157" s="29">
        <f t="shared" si="24"/>
        <v>2844297.0666666673</v>
      </c>
    </row>
    <row r="158" spans="1:21" s="35" customFormat="1" ht="18">
      <c r="A158" s="47" t="s">
        <v>72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ref="E158:E165" si="28">+SUM(B158:D158)</f>
        <v>-258555.49999999997</v>
      </c>
      <c r="F158" s="30">
        <v>0</v>
      </c>
      <c r="G158" s="30">
        <v>1520939.2</v>
      </c>
      <c r="H158" s="30"/>
      <c r="I158" s="30">
        <f>18507.3+98547.5+23833.1</f>
        <v>140887.9</v>
      </c>
      <c r="J158" s="30">
        <v>13933</v>
      </c>
      <c r="K158" s="30">
        <v>713689.4</v>
      </c>
      <c r="L158" s="31">
        <f t="shared" ref="L158:L165" si="29">+SUM(F158:K158)</f>
        <v>2389449.5</v>
      </c>
      <c r="M158" s="30">
        <v>552860.86666666705</v>
      </c>
      <c r="N158" s="29">
        <v>88159.1</v>
      </c>
      <c r="O158" s="31">
        <f t="shared" si="21"/>
        <v>1748429.5333333327</v>
      </c>
      <c r="P158" s="36">
        <v>27779.7</v>
      </c>
      <c r="Q158" s="31">
        <v>1388273.4333333333</v>
      </c>
      <c r="R158" s="31">
        <v>305.60000000000002</v>
      </c>
      <c r="S158" s="29">
        <f t="shared" si="27"/>
        <v>1416358.7333333334</v>
      </c>
      <c r="T158" s="33">
        <f t="shared" si="23"/>
        <v>3164788.2666666661</v>
      </c>
      <c r="U158" s="29">
        <f t="shared" si="24"/>
        <v>2906232.7666666661</v>
      </c>
    </row>
    <row r="159" spans="1:21" s="35" customFormat="1" ht="18">
      <c r="A159" s="47" t="s">
        <v>73</v>
      </c>
      <c r="B159" s="30">
        <v>-151024.20000000001</v>
      </c>
      <c r="C159" s="30">
        <v>-128888.4</v>
      </c>
      <c r="D159" s="30" t="s">
        <v>1</v>
      </c>
      <c r="E159" s="29">
        <f t="shared" si="28"/>
        <v>-279912.59999999998</v>
      </c>
      <c r="F159" s="30">
        <v>0</v>
      </c>
      <c r="G159" s="30">
        <v>1539157.4000000001</v>
      </c>
      <c r="H159" s="30"/>
      <c r="I159" s="30">
        <f>18507.3+25822.8+124981.5+150000</f>
        <v>319311.59999999998</v>
      </c>
      <c r="J159" s="30">
        <v>12539.7</v>
      </c>
      <c r="K159" s="30">
        <v>713120.2</v>
      </c>
      <c r="L159" s="31">
        <f t="shared" si="29"/>
        <v>2584128.9</v>
      </c>
      <c r="M159" s="30">
        <v>485147.2</v>
      </c>
      <c r="N159" s="29">
        <v>76753.3</v>
      </c>
      <c r="O159" s="31">
        <f t="shared" si="21"/>
        <v>2022228.3999999997</v>
      </c>
      <c r="P159" s="36">
        <f>30626.8+101.6</f>
        <v>30728.399999999998</v>
      </c>
      <c r="Q159" s="31">
        <v>1360697.4</v>
      </c>
      <c r="R159" s="31">
        <v>311</v>
      </c>
      <c r="S159" s="29">
        <f t="shared" si="27"/>
        <v>1391736.7999999998</v>
      </c>
      <c r="T159" s="33">
        <f t="shared" si="23"/>
        <v>3413965.1999999993</v>
      </c>
      <c r="U159" s="29">
        <f t="shared" si="24"/>
        <v>3134052.5999999992</v>
      </c>
    </row>
    <row r="160" spans="1:21" s="35" customFormat="1" ht="18">
      <c r="A160" s="47" t="s">
        <v>75</v>
      </c>
      <c r="B160" s="30">
        <v>-148193.19999999998</v>
      </c>
      <c r="C160" s="30">
        <v>-130928.60000000006</v>
      </c>
      <c r="D160" s="30" t="s">
        <v>1</v>
      </c>
      <c r="E160" s="29">
        <f t="shared" si="28"/>
        <v>-279121.80000000005</v>
      </c>
      <c r="F160" s="30">
        <v>0</v>
      </c>
      <c r="G160" s="30">
        <v>1561990.2</v>
      </c>
      <c r="H160" s="30"/>
      <c r="I160" s="30">
        <f>18507.3+26917.5+125477.3+150000+2000</f>
        <v>322902.09999999998</v>
      </c>
      <c r="J160" s="30">
        <v>11146.4</v>
      </c>
      <c r="K160" s="30">
        <v>711911</v>
      </c>
      <c r="L160" s="31">
        <f t="shared" si="29"/>
        <v>2607949.6999999997</v>
      </c>
      <c r="M160" s="30">
        <v>516006.42063433299</v>
      </c>
      <c r="N160" s="29">
        <v>89546.6</v>
      </c>
      <c r="O160" s="31">
        <f t="shared" si="21"/>
        <v>2002396.6793656666</v>
      </c>
      <c r="P160" s="36">
        <f>27890.7+101.6</f>
        <v>27992.3</v>
      </c>
      <c r="Q160" s="31">
        <v>1369360.4333333336</v>
      </c>
      <c r="R160" s="31">
        <v>1236.8000000000002</v>
      </c>
      <c r="S160" s="29">
        <f t="shared" si="27"/>
        <v>1398589.5333333337</v>
      </c>
      <c r="T160" s="33">
        <f t="shared" si="23"/>
        <v>3400986.2126990003</v>
      </c>
      <c r="U160" s="29">
        <f t="shared" si="24"/>
        <v>3121864.412699</v>
      </c>
    </row>
    <row r="161" spans="1:22" s="35" customFormat="1" ht="18">
      <c r="A161" s="47" t="s">
        <v>76</v>
      </c>
      <c r="B161" s="30">
        <v>-138961.59999999998</v>
      </c>
      <c r="C161" s="30">
        <v>-142835.59999999995</v>
      </c>
      <c r="D161" s="30" t="s">
        <v>1</v>
      </c>
      <c r="E161" s="29">
        <f t="shared" si="28"/>
        <v>-281797.19999999995</v>
      </c>
      <c r="F161" s="30">
        <v>0</v>
      </c>
      <c r="G161" s="30">
        <v>1576490.1</v>
      </c>
      <c r="H161" s="30"/>
      <c r="I161" s="30">
        <f>18507.3+26994.4+119336.2+150000+2000</f>
        <v>316837.90000000002</v>
      </c>
      <c r="J161" s="30">
        <v>9753.1</v>
      </c>
      <c r="K161" s="30">
        <v>710701.89999999991</v>
      </c>
      <c r="L161" s="31">
        <f t="shared" si="29"/>
        <v>2613783</v>
      </c>
      <c r="M161" s="30">
        <v>528193.41095966694</v>
      </c>
      <c r="N161" s="29">
        <v>78500.7</v>
      </c>
      <c r="O161" s="31">
        <f t="shared" si="21"/>
        <v>2007088.889040333</v>
      </c>
      <c r="P161" s="36">
        <f>23229.4+101.6</f>
        <v>23331</v>
      </c>
      <c r="Q161" s="31">
        <v>1403425.8666666667</v>
      </c>
      <c r="R161" s="31">
        <v>1196.1000000000001</v>
      </c>
      <c r="S161" s="29">
        <f t="shared" si="27"/>
        <v>1427952.9666666668</v>
      </c>
      <c r="T161" s="33">
        <f t="shared" si="23"/>
        <v>3435041.855707</v>
      </c>
      <c r="U161" s="29">
        <f t="shared" si="24"/>
        <v>3153244.6557069998</v>
      </c>
    </row>
    <row r="162" spans="1:22" s="35" customFormat="1" ht="18">
      <c r="A162" s="47" t="s">
        <v>77</v>
      </c>
      <c r="B162" s="30">
        <v>-93105.300000000017</v>
      </c>
      <c r="C162" s="30">
        <v>-111910.80000000002</v>
      </c>
      <c r="D162" s="30" t="s">
        <v>1</v>
      </c>
      <c r="E162" s="29">
        <f t="shared" si="28"/>
        <v>-205016.10000000003</v>
      </c>
      <c r="F162" s="30">
        <v>0</v>
      </c>
      <c r="G162" s="30">
        <v>1614167.6</v>
      </c>
      <c r="H162" s="30"/>
      <c r="I162" s="30">
        <f>18507.3+27463+120782.7+150000+2000</f>
        <v>318753</v>
      </c>
      <c r="J162" s="30">
        <v>6921.2</v>
      </c>
      <c r="K162" s="30">
        <v>708283.6</v>
      </c>
      <c r="L162" s="31">
        <f t="shared" si="29"/>
        <v>2648125.4</v>
      </c>
      <c r="M162" s="30">
        <v>548943.11651700002</v>
      </c>
      <c r="N162" s="29">
        <v>72918.899999999994</v>
      </c>
      <c r="O162" s="31">
        <f t="shared" si="21"/>
        <v>2026263.3834830001</v>
      </c>
      <c r="P162" s="36">
        <f>22343.7+101.6</f>
        <v>22445.3</v>
      </c>
      <c r="Q162" s="31">
        <v>1425912.5</v>
      </c>
      <c r="R162" s="31">
        <v>1185.1999999999998</v>
      </c>
      <c r="S162" s="29">
        <f t="shared" si="27"/>
        <v>1449543</v>
      </c>
      <c r="T162" s="33">
        <f t="shared" si="23"/>
        <v>3475806.3834830001</v>
      </c>
      <c r="U162" s="29">
        <f t="shared" si="24"/>
        <v>3270790.283483</v>
      </c>
    </row>
    <row r="163" spans="1:22" s="35" customFormat="1" ht="18">
      <c r="A163" s="77" t="s">
        <v>80</v>
      </c>
      <c r="B163" s="30">
        <v>-100769.59999999998</v>
      </c>
      <c r="C163" s="30">
        <v>-118502.99999999997</v>
      </c>
      <c r="D163" s="30" t="s">
        <v>1</v>
      </c>
      <c r="E163" s="29">
        <f t="shared" si="28"/>
        <v>-219272.59999999995</v>
      </c>
      <c r="F163" s="30">
        <v>0</v>
      </c>
      <c r="G163" s="30">
        <f>106324+1457030+66802.1</f>
        <v>1630156.1</v>
      </c>
      <c r="H163" s="30"/>
      <c r="I163" s="30">
        <f>18507.3+27463+118645.1+150000+2000</f>
        <v>316615.40000000002</v>
      </c>
      <c r="J163" s="30">
        <v>6921.2</v>
      </c>
      <c r="K163" s="30">
        <v>708283.6</v>
      </c>
      <c r="L163" s="31">
        <f t="shared" si="29"/>
        <v>2661976.2999999998</v>
      </c>
      <c r="M163" s="30">
        <v>561757.37774200004</v>
      </c>
      <c r="N163" s="29">
        <v>84343.1</v>
      </c>
      <c r="O163" s="31">
        <f t="shared" si="21"/>
        <v>2015875.8222579998</v>
      </c>
      <c r="P163" s="36">
        <f>28188.1+101.6</f>
        <v>28289.699999999997</v>
      </c>
      <c r="Q163" s="31">
        <f>1349197.6+27858.7+65545.4</f>
        <v>1442601.7</v>
      </c>
      <c r="R163" s="31">
        <v>1063.0999999999999</v>
      </c>
      <c r="S163" s="29">
        <f t="shared" si="27"/>
        <v>1471954.5</v>
      </c>
      <c r="T163" s="33">
        <f t="shared" si="23"/>
        <v>3487830.3222579998</v>
      </c>
      <c r="U163" s="29">
        <f t="shared" si="24"/>
        <v>3268557.7222579997</v>
      </c>
    </row>
    <row r="164" spans="1:22" s="35" customFormat="1" ht="18">
      <c r="A164" s="77" t="s">
        <v>81</v>
      </c>
      <c r="B164" s="30">
        <v>-94851.999999999971</v>
      </c>
      <c r="C164" s="30">
        <v>-94494.800000000047</v>
      </c>
      <c r="D164" s="30" t="s">
        <v>1</v>
      </c>
      <c r="E164" s="29">
        <f t="shared" si="28"/>
        <v>-189346.80000000002</v>
      </c>
      <c r="F164" s="30">
        <v>0</v>
      </c>
      <c r="G164" s="30">
        <f>125624+1451471.2+73895.9</f>
        <v>1650991.0999999999</v>
      </c>
      <c r="H164" s="30"/>
      <c r="I164" s="30">
        <f>18507.3+27463+146256.4+150000+2000+4668.9</f>
        <v>348895.60000000003</v>
      </c>
      <c r="J164" s="30">
        <v>5527.9</v>
      </c>
      <c r="K164" s="30">
        <v>704458.1</v>
      </c>
      <c r="L164" s="31">
        <f t="shared" si="29"/>
        <v>2709872.6999999997</v>
      </c>
      <c r="M164" s="30">
        <v>617449.50289300003</v>
      </c>
      <c r="N164" s="29">
        <v>74182.100000000006</v>
      </c>
      <c r="O164" s="31">
        <f t="shared" si="21"/>
        <v>2018241.0971069997</v>
      </c>
      <c r="P164" s="36">
        <f>26250.3+101.6</f>
        <v>26351.899999999998</v>
      </c>
      <c r="Q164" s="31">
        <f>1377971.6+27859.8+61028.2</f>
        <v>1466859.6</v>
      </c>
      <c r="R164" s="31">
        <v>1036.3</v>
      </c>
      <c r="S164" s="29">
        <f t="shared" si="27"/>
        <v>1494247.8</v>
      </c>
      <c r="T164" s="33">
        <f t="shared" si="23"/>
        <v>3512488.8971069995</v>
      </c>
      <c r="U164" s="29">
        <f t="shared" si="24"/>
        <v>3323142.0971069997</v>
      </c>
    </row>
    <row r="165" spans="1:22" s="35" customFormat="1" ht="18">
      <c r="A165" s="77" t="s">
        <v>82</v>
      </c>
      <c r="B165" s="30">
        <f>212738-331861.9</f>
        <v>-119123.90000000002</v>
      </c>
      <c r="C165" s="30">
        <f>210185.7-318779.1</f>
        <v>-108593.39999999997</v>
      </c>
      <c r="D165" s="30" t="s">
        <v>1</v>
      </c>
      <c r="E165" s="29">
        <f t="shared" si="28"/>
        <v>-227717.3</v>
      </c>
      <c r="F165" s="30">
        <v>0</v>
      </c>
      <c r="G165" s="30">
        <f>126464+1443480.7+78836.6</f>
        <v>1648781.3</v>
      </c>
      <c r="H165" s="30"/>
      <c r="I165" s="30">
        <f>18507.3+0+143124.3+150000+2000+4668.9</f>
        <v>318300.5</v>
      </c>
      <c r="J165" s="30">
        <v>4134.6000000000004</v>
      </c>
      <c r="K165" s="30">
        <v>703262.9</v>
      </c>
      <c r="L165" s="31">
        <f t="shared" si="29"/>
        <v>2674479.3000000003</v>
      </c>
      <c r="M165" s="30">
        <v>570761.6</v>
      </c>
      <c r="N165" s="29">
        <v>77855.7</v>
      </c>
      <c r="O165" s="31">
        <f t="shared" si="21"/>
        <v>2025862.0000000002</v>
      </c>
      <c r="P165" s="36">
        <f>24586.6+101.6</f>
        <v>24688.199999999997</v>
      </c>
      <c r="Q165" s="31">
        <f>1424373+75314.4+58847.6</f>
        <v>1558535</v>
      </c>
      <c r="R165" s="31">
        <v>734.60000000000014</v>
      </c>
      <c r="S165" s="29">
        <f t="shared" si="27"/>
        <v>1583957.8</v>
      </c>
      <c r="T165" s="33">
        <f t="shared" si="23"/>
        <v>3609819.8000000003</v>
      </c>
      <c r="U165" s="29">
        <f t="shared" si="24"/>
        <v>3382102.5000000005</v>
      </c>
    </row>
    <row r="166" spans="1:22" s="35" customFormat="1" ht="15.75">
      <c r="A166" s="57" t="s">
        <v>54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9"/>
      <c r="V166" s="34"/>
    </row>
    <row r="167" spans="1:22" s="35" customFormat="1" ht="15.75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2"/>
      <c r="V167" s="34"/>
    </row>
    <row r="168" spans="1:22" s="35" customFormat="1" ht="15.75">
      <c r="A168" s="50" t="s">
        <v>52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2"/>
      <c r="V168" s="34"/>
    </row>
  </sheetData>
  <mergeCells count="11">
    <mergeCell ref="A168:U168"/>
    <mergeCell ref="F2:H2"/>
    <mergeCell ref="F5:O5"/>
    <mergeCell ref="P5:S5"/>
    <mergeCell ref="F4:O4"/>
    <mergeCell ref="P4:T4"/>
    <mergeCell ref="A166:U167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2"/>
  <sheetViews>
    <sheetView workbookViewId="0">
      <pane xSplit="1" ySplit="6" topLeftCell="U56" activePane="bottomRight" state="frozen"/>
      <selection pane="topRight" activeCell="B1" sqref="B1"/>
      <selection pane="bottomLeft" activeCell="A7" sqref="A7"/>
      <selection pane="bottomRight" activeCell="A65" sqref="A65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59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59" si="12">SUM(O47,S47)</f>
        <v>2055107.1999999997</v>
      </c>
      <c r="U47" s="29">
        <f t="shared" ref="U47:U59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3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3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3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4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6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3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:S59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3" s="35" customFormat="1" ht="18">
      <c r="A53" s="47" t="s">
        <v>60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si="16"/>
        <v>-227582.3</v>
      </c>
      <c r="F53" s="30">
        <v>0</v>
      </c>
      <c r="G53" s="30">
        <f>52783.1+1160384.5+28225</f>
        <v>1241392.6000000001</v>
      </c>
      <c r="H53" s="30"/>
      <c r="I53" s="30">
        <v>66552.3</v>
      </c>
      <c r="J53" s="30">
        <v>29259.4</v>
      </c>
      <c r="K53" s="30">
        <v>727629.7</v>
      </c>
      <c r="L53" s="31">
        <f t="shared" si="17"/>
        <v>2064834</v>
      </c>
      <c r="M53" s="30">
        <v>478795.5</v>
      </c>
      <c r="N53" s="29">
        <v>82107.899999999994</v>
      </c>
      <c r="O53" s="31">
        <f t="shared" si="10"/>
        <v>1503930.6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si="19"/>
        <v>1179708.1000000001</v>
      </c>
      <c r="T53" s="33">
        <f t="shared" si="12"/>
        <v>2683638.7000000002</v>
      </c>
      <c r="U53" s="29">
        <f t="shared" si="13"/>
        <v>2456056.4000000004</v>
      </c>
    </row>
    <row r="54" spans="1:23" s="35" customFormat="1" ht="18">
      <c r="A54" s="47" t="s">
        <v>63</v>
      </c>
      <c r="B54" s="30">
        <v>-129390.7</v>
      </c>
      <c r="C54" s="30">
        <v>-76949.600000000006</v>
      </c>
      <c r="D54" s="30" t="s">
        <v>1</v>
      </c>
      <c r="E54" s="29">
        <f t="shared" si="16"/>
        <v>-206340.3</v>
      </c>
      <c r="F54" s="30">
        <v>0</v>
      </c>
      <c r="G54" s="30">
        <f>57683+1228622.8+55165.1</f>
        <v>1341470.9000000001</v>
      </c>
      <c r="H54" s="30"/>
      <c r="I54" s="30">
        <v>73356.899999999994</v>
      </c>
      <c r="J54" s="30">
        <v>23686.2</v>
      </c>
      <c r="K54" s="30">
        <v>722793.2</v>
      </c>
      <c r="L54" s="31">
        <f t="shared" si="17"/>
        <v>2161307.2000000002</v>
      </c>
      <c r="M54" s="30">
        <v>443910.5</v>
      </c>
      <c r="N54" s="29">
        <v>95938.2</v>
      </c>
      <c r="O54" s="31">
        <f t="shared" si="10"/>
        <v>1621458.5000000002</v>
      </c>
      <c r="P54" s="36">
        <f>42076.6+101.6</f>
        <v>42178.2</v>
      </c>
      <c r="Q54" s="31">
        <v>1165927.2000000002</v>
      </c>
      <c r="R54" s="31">
        <v>458.5</v>
      </c>
      <c r="S54" s="29">
        <f t="shared" si="19"/>
        <v>1208563.9000000001</v>
      </c>
      <c r="T54" s="33">
        <f t="shared" si="12"/>
        <v>2830022.4000000004</v>
      </c>
      <c r="U54" s="29">
        <f t="shared" si="13"/>
        <v>2623682.1000000006</v>
      </c>
    </row>
    <row r="55" spans="1:23" s="35" customFormat="1" ht="18">
      <c r="A55" s="47" t="s">
        <v>67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ref="E55:E56" si="20">+SUM(B55:D55)</f>
        <v>-284837.5</v>
      </c>
      <c r="F55" s="30">
        <v>0</v>
      </c>
      <c r="G55" s="30">
        <f>51183+1270664.1+59841.5</f>
        <v>1381688.6</v>
      </c>
      <c r="H55" s="30"/>
      <c r="I55" s="30">
        <f>18507.3+103560.4</f>
        <v>122067.7</v>
      </c>
      <c r="J55" s="30">
        <v>19506.2</v>
      </c>
      <c r="K55" s="30">
        <v>719165.8</v>
      </c>
      <c r="L55" s="31">
        <f t="shared" si="17"/>
        <v>2242428.2999999998</v>
      </c>
      <c r="M55" s="30">
        <v>503862</v>
      </c>
      <c r="N55" s="29">
        <v>77027.199999999997</v>
      </c>
      <c r="O55" s="31">
        <f t="shared" si="10"/>
        <v>1661539.0999999999</v>
      </c>
      <c r="P55" s="36">
        <f>32138.3+101.6</f>
        <v>32239.899999999998</v>
      </c>
      <c r="Q55" s="31">
        <f>1159740.9+4846.3+47836</f>
        <v>1212423.2</v>
      </c>
      <c r="R55" s="31">
        <v>342.2</v>
      </c>
      <c r="S55" s="29">
        <f t="shared" si="19"/>
        <v>1245005.2999999998</v>
      </c>
      <c r="T55" s="33">
        <f t="shared" si="12"/>
        <v>2906544.3999999994</v>
      </c>
      <c r="U55" s="29">
        <f t="shared" si="13"/>
        <v>2621706.8999999994</v>
      </c>
    </row>
    <row r="56" spans="1:23" s="35" customFormat="1" ht="18">
      <c r="A56" s="47" t="s">
        <v>70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f>59283+1350702.5+59204.6</f>
        <v>1469190.1</v>
      </c>
      <c r="H56" s="30"/>
      <c r="I56" s="30">
        <f>18507.3+98487+5357.5</f>
        <v>122351.8</v>
      </c>
      <c r="J56" s="30">
        <v>15326.3</v>
      </c>
      <c r="K56" s="30">
        <v>715538.4</v>
      </c>
      <c r="L56" s="31">
        <f t="shared" si="17"/>
        <v>2322406.6</v>
      </c>
      <c r="M56" s="30">
        <v>441278.2</v>
      </c>
      <c r="N56" s="29">
        <v>86594.1</v>
      </c>
      <c r="O56" s="31">
        <f t="shared" si="10"/>
        <v>1794534.3</v>
      </c>
      <c r="P56" s="36">
        <f>29576.4+101.6</f>
        <v>29678</v>
      </c>
      <c r="Q56" s="31">
        <f>1231019.2+4928.8+46930.1</f>
        <v>1282878.1000000001</v>
      </c>
      <c r="R56" s="31">
        <v>328.2</v>
      </c>
      <c r="S56" s="29">
        <f t="shared" si="19"/>
        <v>1312884.3</v>
      </c>
      <c r="T56" s="33">
        <f t="shared" si="12"/>
        <v>3107418.6</v>
      </c>
      <c r="U56" s="29">
        <f t="shared" si="13"/>
        <v>2774287</v>
      </c>
    </row>
    <row r="57" spans="1:23" s="35" customFormat="1" ht="18">
      <c r="A57" s="47" t="s">
        <v>73</v>
      </c>
      <c r="B57" s="30">
        <v>-151024.20000000001</v>
      </c>
      <c r="C57" s="30">
        <v>-128888.4</v>
      </c>
      <c r="D57" s="30" t="s">
        <v>1</v>
      </c>
      <c r="E57" s="29">
        <f t="shared" ref="E57:E59" si="21">+SUM(B57:D57)</f>
        <v>-279912.59999999998</v>
      </c>
      <c r="F57" s="30">
        <v>0</v>
      </c>
      <c r="G57" s="30">
        <v>1539157.4000000001</v>
      </c>
      <c r="H57" s="30"/>
      <c r="I57" s="30">
        <f>18507.3+25822.8+124981.5+150000</f>
        <v>319311.59999999998</v>
      </c>
      <c r="J57" s="30">
        <v>12539.7</v>
      </c>
      <c r="K57" s="30">
        <v>713120.2</v>
      </c>
      <c r="L57" s="31">
        <f t="shared" ref="L57:L59" si="22">+SUM(F57:K57)</f>
        <v>2584128.9</v>
      </c>
      <c r="M57" s="30">
        <v>485147.2</v>
      </c>
      <c r="N57" s="29">
        <v>76753.3</v>
      </c>
      <c r="O57" s="31">
        <f t="shared" si="10"/>
        <v>2022228.3999999997</v>
      </c>
      <c r="P57" s="36">
        <f>30626.8+101.6</f>
        <v>30728.399999999998</v>
      </c>
      <c r="Q57" s="31">
        <v>1360697.4</v>
      </c>
      <c r="R57" s="31">
        <v>311</v>
      </c>
      <c r="S57" s="29">
        <f t="shared" si="19"/>
        <v>1391736.7999999998</v>
      </c>
      <c r="T57" s="33">
        <f t="shared" si="12"/>
        <v>3413965.1999999993</v>
      </c>
      <c r="U57" s="29">
        <f t="shared" si="13"/>
        <v>3134052.5999999992</v>
      </c>
    </row>
    <row r="58" spans="1:23" s="35" customFormat="1" ht="18">
      <c r="A58" s="47" t="s">
        <v>77</v>
      </c>
      <c r="B58" s="30">
        <v>-93105.300000000017</v>
      </c>
      <c r="C58" s="30">
        <v>-111910.80000000002</v>
      </c>
      <c r="D58" s="30" t="s">
        <v>1</v>
      </c>
      <c r="E58" s="29">
        <f t="shared" si="21"/>
        <v>-205016.10000000003</v>
      </c>
      <c r="F58" s="30">
        <v>0</v>
      </c>
      <c r="G58" s="30">
        <v>1614167.6</v>
      </c>
      <c r="H58" s="30"/>
      <c r="I58" s="30">
        <f>18507.3+27463+120782.7+150000+2000</f>
        <v>318753</v>
      </c>
      <c r="J58" s="30">
        <v>6921.2</v>
      </c>
      <c r="K58" s="30">
        <v>708283.6</v>
      </c>
      <c r="L58" s="31">
        <f t="shared" si="22"/>
        <v>2648125.4</v>
      </c>
      <c r="M58" s="30">
        <v>548943.11651700002</v>
      </c>
      <c r="N58" s="29">
        <v>72918.899999999994</v>
      </c>
      <c r="O58" s="31">
        <f t="shared" si="10"/>
        <v>2026263.3834830001</v>
      </c>
      <c r="P58" s="36">
        <f>22343.7+101.6</f>
        <v>22445.3</v>
      </c>
      <c r="Q58" s="31">
        <v>1425912.5</v>
      </c>
      <c r="R58" s="31">
        <v>1185.1999999999998</v>
      </c>
      <c r="S58" s="29">
        <f t="shared" si="19"/>
        <v>1449543</v>
      </c>
      <c r="T58" s="33">
        <f t="shared" si="12"/>
        <v>3475806.3834830001</v>
      </c>
      <c r="U58" s="29">
        <f t="shared" si="13"/>
        <v>3270790.283483</v>
      </c>
    </row>
    <row r="59" spans="1:23" s="35" customFormat="1" ht="18">
      <c r="A59" s="47" t="s">
        <v>82</v>
      </c>
      <c r="B59" s="30">
        <f>212738-331861.9</f>
        <v>-119123.90000000002</v>
      </c>
      <c r="C59" s="30">
        <f>210185.7-318779.1</f>
        <v>-108593.39999999997</v>
      </c>
      <c r="D59" s="30" t="s">
        <v>1</v>
      </c>
      <c r="E59" s="29">
        <f t="shared" si="21"/>
        <v>-227717.3</v>
      </c>
      <c r="F59" s="30">
        <v>0</v>
      </c>
      <c r="G59" s="30">
        <f>126464+1443480.7+78836.6</f>
        <v>1648781.3</v>
      </c>
      <c r="H59" s="30"/>
      <c r="I59" s="30">
        <f>18507.3+0+143124.3+150000+2000+4668.9</f>
        <v>318300.5</v>
      </c>
      <c r="J59" s="30">
        <v>4134.6000000000004</v>
      </c>
      <c r="K59" s="30">
        <v>703262.9</v>
      </c>
      <c r="L59" s="31">
        <f t="shared" si="22"/>
        <v>2674479.3000000003</v>
      </c>
      <c r="M59" s="30">
        <v>570761.6</v>
      </c>
      <c r="N59" s="29">
        <v>77855.7</v>
      </c>
      <c r="O59" s="31">
        <f t="shared" si="10"/>
        <v>2025862.0000000002</v>
      </c>
      <c r="P59" s="36">
        <f>24586.6+101.6</f>
        <v>24688.199999999997</v>
      </c>
      <c r="Q59" s="31">
        <f>1424373+75314.4+58847.6</f>
        <v>1558535</v>
      </c>
      <c r="R59" s="31">
        <v>734.60000000000014</v>
      </c>
      <c r="S59" s="29">
        <f t="shared" si="19"/>
        <v>1583957.8</v>
      </c>
      <c r="T59" s="33">
        <f t="shared" si="12"/>
        <v>3609819.8000000003</v>
      </c>
      <c r="U59" s="29">
        <f t="shared" si="13"/>
        <v>3382102.5000000005</v>
      </c>
    </row>
    <row r="60" spans="1:23" s="48" customFormat="1" ht="19.5">
      <c r="A60" s="57" t="s">
        <v>54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9"/>
      <c r="W60" s="49"/>
    </row>
    <row r="61" spans="1:23" s="35" customFormat="1" ht="15.7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2"/>
      <c r="V61" s="34"/>
    </row>
    <row r="62" spans="1:23" s="35" customFormat="1" ht="15.75">
      <c r="A62" s="50" t="s">
        <v>52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  <c r="V62" s="34"/>
    </row>
  </sheetData>
  <mergeCells count="11">
    <mergeCell ref="E2:G2"/>
    <mergeCell ref="A62:U62"/>
    <mergeCell ref="A4:A6"/>
    <mergeCell ref="B4:E5"/>
    <mergeCell ref="F4:O4"/>
    <mergeCell ref="P4:T4"/>
    <mergeCell ref="A60:U61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6"/>
  <sheetViews>
    <sheetView workbookViewId="0">
      <pane xSplit="1" ySplit="6" topLeftCell="U16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9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8">
      <c r="A18" s="45" t="s">
        <v>65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f>57683+1228622.8+55165.1</f>
        <v>1341470.9000000001</v>
      </c>
      <c r="H18" s="30"/>
      <c r="I18" s="30">
        <v>73356.899999999994</v>
      </c>
      <c r="J18" s="30">
        <v>23686.2</v>
      </c>
      <c r="K18" s="30">
        <v>722793.2</v>
      </c>
      <c r="L18" s="31">
        <f t="shared" ref="L18" si="13">+SUM(F18:K18)</f>
        <v>2161307.2000000002</v>
      </c>
      <c r="M18" s="30">
        <v>443811.4</v>
      </c>
      <c r="N18" s="29">
        <v>95938.2</v>
      </c>
      <c r="O18" s="31">
        <f t="shared" si="8"/>
        <v>1621557.6000000003</v>
      </c>
      <c r="P18" s="36">
        <f>42076.6+101.6</f>
        <v>42178.2</v>
      </c>
      <c r="Q18" s="31">
        <v>1165927.2000000002</v>
      </c>
      <c r="R18" s="31">
        <v>458.5</v>
      </c>
      <c r="S18" s="29">
        <f t="shared" ref="S18" si="14">SUM(P18:R18)</f>
        <v>1208563.9000000001</v>
      </c>
      <c r="T18" s="33">
        <f t="shared" ref="T18:T19" si="15">SUM(O18,S18)</f>
        <v>2830121.5000000005</v>
      </c>
      <c r="U18" s="29">
        <f t="shared" ref="U18:U19" si="16">SUM(E18,T18)</f>
        <v>2623781.2000000007</v>
      </c>
    </row>
    <row r="19" spans="1:22" s="35" customFormat="1" ht="18">
      <c r="A19" s="45" t="s">
        <v>78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18507.3+27463+120782.7+150000+2000</f>
        <v>318753</v>
      </c>
      <c r="J19" s="30">
        <v>6921.2</v>
      </c>
      <c r="K19" s="30">
        <v>708283.6</v>
      </c>
      <c r="L19" s="31">
        <f t="shared" ref="L19" si="18">+SUM(F19:K19)</f>
        <v>2648125.4</v>
      </c>
      <c r="M19" s="30">
        <v>548943.11651700002</v>
      </c>
      <c r="N19" s="29">
        <v>72918.899999999994</v>
      </c>
      <c r="O19" s="31">
        <f t="shared" si="8"/>
        <v>2026263.3834830001</v>
      </c>
      <c r="P19" s="36">
        <f>22343.7+101.6</f>
        <v>22445.3</v>
      </c>
      <c r="Q19" s="31">
        <v>1425912.5</v>
      </c>
      <c r="R19" s="31">
        <v>1185.1999999999998</v>
      </c>
      <c r="S19" s="29">
        <f t="shared" ref="S19" si="19">SUM(P19:R19)</f>
        <v>1449543</v>
      </c>
      <c r="T19" s="33">
        <f t="shared" si="15"/>
        <v>3475806.3834830001</v>
      </c>
      <c r="U19" s="29">
        <f t="shared" si="16"/>
        <v>3270790.283483</v>
      </c>
    </row>
    <row r="20" spans="1:22" s="35" customFormat="1" ht="15.75">
      <c r="A20" s="57" t="s">
        <v>54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34"/>
    </row>
    <row r="21" spans="1:22" s="35" customFormat="1" ht="15.7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34"/>
    </row>
    <row r="22" spans="1:22" s="35" customFormat="1" ht="15.75">
      <c r="A22" s="50" t="s">
        <v>52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34"/>
    </row>
    <row r="77" spans="1:20">
      <c r="A77" s="2"/>
      <c r="B77" s="6"/>
      <c r="C77" s="6"/>
      <c r="D77" s="3"/>
      <c r="E77" s="6"/>
      <c r="F77" s="6"/>
      <c r="G77" s="6"/>
      <c r="H77" s="6"/>
      <c r="I77" s="6"/>
      <c r="J77" s="6"/>
      <c r="K77" s="4"/>
      <c r="L77" s="6"/>
      <c r="M77" s="3"/>
      <c r="N77" s="4"/>
      <c r="O77" s="7"/>
      <c r="P77" s="4"/>
      <c r="Q77" s="4"/>
      <c r="R77" s="3"/>
      <c r="S77" s="3"/>
      <c r="T77" s="3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5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</sheetData>
  <mergeCells count="11">
    <mergeCell ref="A22:U22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0:U21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2021-07-09T09:51:58Z</dcterms:modified>
</cp:coreProperties>
</file>