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<sst xmlns="http://schemas.openxmlformats.org/spreadsheetml/2006/main" count="607" uniqueCount="87">
  <si>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</si>
  <si>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</si>
  <si>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</si>
  <si>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</si>
  <si>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</si>
  <si>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</si>
  <si>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</si>
  <si>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</si>
  <si>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</si>
  <si>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</si>
  <si>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</si>
  <si>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</si>
  <si>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</si>
  <si>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</si>
  <si>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</si>
  <si>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</si>
  <si>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</si>
  <si>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</si>
  <si>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</si>
  <si>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</si>
  <si>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</si>
  <si>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</si>
  <si>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</si>
  <si>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</si>
  <si>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</si>
  <si>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</si>
  <si>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</si>
  <si>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</si>
  <si>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</si>
  <si>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</si>
  <si>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</si>
  <si>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</si>
  <si>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</si>
  <si>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</si>
  <si>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</si>
  <si>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</si>
  <si>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</si>
  <si>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</si>
  <si>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</si>
  <si>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</si>
  <si>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</si>
  <si>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</si>
  <si>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</si>
  <si>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</si>
  <si>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</si>
  <si>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</si>
  <si>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</si>
  <si>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</si>
  <si>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</si>
  <si>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</si>
  <si>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</si>
  <si>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</si>
  <si>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</si>
  <si>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</si>
  <si>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</si>
  <si>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</si>
  <si>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</si>
  <si>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</si>
  <si>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</si>
  <si>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</si>
  <si>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</si>
  <si>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r>
      <t>2019</t>
    </r>
    <r>
      <rPr>
        <vertAlign val="superscript"/>
        <sz val="12"/>
        <rFont val="Calibri"/>
        <family val="2"/>
      </rPr>
      <t>(p)</t>
    </r>
  </si>
  <si>
    <r>
      <t>Août-19</t>
    </r>
    <r>
      <rPr>
        <vertAlign val="superscript"/>
        <sz val="12"/>
        <rFont val="Calibri"/>
        <family val="2"/>
      </rPr>
      <t>(p)</t>
    </r>
  </si>
  <si>
    <r>
      <t>Septembre-19</t>
    </r>
    <r>
      <rPr>
        <vertAlign val="superscript"/>
        <sz val="12"/>
        <rFont val="Calibri"/>
        <family val="2"/>
      </rPr>
      <t>(p)</t>
    </r>
  </si>
  <si>
    <r>
      <t>octobre-19</t>
    </r>
    <r>
      <rPr>
        <vertAlign val="superscript"/>
        <sz val="12"/>
        <rFont val="Calibri"/>
        <family val="2"/>
      </rPr>
      <t>(p)</t>
    </r>
  </si>
  <si>
    <r>
      <t>Novembre-19</t>
    </r>
    <r>
      <rPr>
        <vertAlign val="superscript"/>
        <sz val="12"/>
        <rFont val="Calibri"/>
        <family val="2"/>
      </rPr>
      <t>(p)</t>
    </r>
  </si>
  <si>
    <r>
      <t>Décembre-19</t>
    </r>
    <r>
      <rPr>
        <vertAlign val="superscript"/>
        <sz val="12"/>
        <rFont val="Calibri"/>
        <family val="2"/>
      </rPr>
      <t>(p)</t>
    </r>
  </si>
  <si>
    <r>
      <t>Mars-20</t>
    </r>
    <r>
      <rPr>
        <vertAlign val="superscript"/>
        <sz val="12"/>
        <rFont val="Calibri"/>
        <family val="2"/>
      </rPr>
      <t>(p)</t>
    </r>
  </si>
  <si>
    <r>
      <t>juillet-19</t>
    </r>
    <r>
      <rPr>
        <vertAlign val="superscript"/>
        <sz val="12"/>
        <rFont val="Calibri"/>
        <family val="2"/>
      </rPr>
      <t>(p)</t>
    </r>
  </si>
  <si>
    <r>
      <t>Juin-20</t>
    </r>
    <r>
      <rPr>
        <vertAlign val="superscript"/>
        <sz val="12"/>
        <rFont val="Calibri"/>
        <family val="2"/>
      </rPr>
      <t>(p)</t>
    </r>
  </si>
  <si>
    <r>
      <t>Septembre-20</t>
    </r>
    <r>
      <rPr>
        <vertAlign val="superscript"/>
        <sz val="12"/>
        <rFont val="Calibri"/>
        <family val="2"/>
      </rPr>
      <t>(p)</t>
    </r>
  </si>
  <si>
    <t>Q4-2020</t>
  </si>
  <si>
    <t>2020</t>
  </si>
  <si>
    <r>
      <t>Décembre-20</t>
    </r>
    <r>
      <rPr>
        <vertAlign val="superscript"/>
        <sz val="12"/>
        <rFont val="Calibri"/>
        <family val="2"/>
      </rPr>
      <t>(p)</t>
    </r>
  </si>
  <si>
    <r>
      <t>2020</t>
    </r>
    <r>
      <rPr>
        <vertAlign val="superscript"/>
        <sz val="12"/>
        <rFont val="Calibri"/>
        <family val="2"/>
      </rPr>
      <t>(p)</t>
    </r>
  </si>
  <si>
    <r>
      <t>Janvier-20</t>
    </r>
    <r>
      <rPr>
        <vertAlign val="superscript"/>
        <sz val="12"/>
        <rFont val="Calibri"/>
        <family val="2"/>
      </rPr>
      <t>(p)</t>
    </r>
  </si>
  <si>
    <r>
      <t>Février-20</t>
    </r>
    <r>
      <rPr>
        <vertAlign val="superscript"/>
        <sz val="12"/>
        <rFont val="Calibri"/>
        <family val="2"/>
      </rPr>
      <t>(p)</t>
    </r>
  </si>
  <si>
    <r>
      <t>Mars-20</t>
    </r>
    <r>
      <rPr>
        <vertAlign val="superscript"/>
        <sz val="12"/>
        <rFont val="Calibri"/>
        <family val="2"/>
      </rPr>
      <t>(p)</t>
    </r>
  </si>
  <si>
    <r>
      <t>Avril-20</t>
    </r>
    <r>
      <rPr>
        <vertAlign val="superscript"/>
        <sz val="12"/>
        <rFont val="Calibri"/>
        <family val="2"/>
      </rPr>
      <t>(p)</t>
    </r>
  </si>
  <si>
    <r>
      <t>Mai-20</t>
    </r>
    <r>
      <rPr>
        <vertAlign val="superscript"/>
        <sz val="12"/>
        <rFont val="Calibri"/>
        <family val="2"/>
      </rPr>
      <t>(p)</t>
    </r>
  </si>
  <si>
    <r>
      <t>Juin-20</t>
    </r>
    <r>
      <rPr>
        <vertAlign val="superscript"/>
        <sz val="12"/>
        <rFont val="Calibri"/>
        <family val="2"/>
      </rPr>
      <t>(p)</t>
    </r>
  </si>
  <si>
    <r>
      <t>Juillet-20</t>
    </r>
    <r>
      <rPr>
        <vertAlign val="superscript"/>
        <sz val="12"/>
        <rFont val="Calibri"/>
        <family val="2"/>
      </rPr>
      <t>(p)</t>
    </r>
  </si>
  <si>
    <r>
      <t>Août-20</t>
    </r>
    <r>
      <rPr>
        <vertAlign val="superscript"/>
        <sz val="12"/>
        <rFont val="Calibri"/>
        <family val="2"/>
      </rPr>
      <t>(p)</t>
    </r>
  </si>
  <si>
    <r>
      <t>Septembre-20</t>
    </r>
    <r>
      <rPr>
        <vertAlign val="superscript"/>
        <sz val="12"/>
        <rFont val="Calibri"/>
        <family val="2"/>
      </rPr>
      <t>(p)</t>
    </r>
  </si>
  <si>
    <r>
      <t>Octobre-20</t>
    </r>
    <r>
      <rPr>
        <vertAlign val="superscript"/>
        <sz val="12"/>
        <rFont val="Calibri"/>
        <family val="2"/>
      </rPr>
      <t>(p)</t>
    </r>
  </si>
  <si>
    <r>
      <t>Novembre-20</t>
    </r>
    <r>
      <rPr>
        <vertAlign val="superscript"/>
        <sz val="12"/>
        <rFont val="Calibri"/>
        <family val="2"/>
      </rPr>
      <t>(p)</t>
    </r>
  </si>
  <si>
    <r>
      <t>Decembre-20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</si>
</sst>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u&quot;;\-#,##0\ &quot;FBu&quot;"/>
    <numFmt numFmtId="167" formatCode="#,##0\ &quot;FBu&quot;;[Red]\-#,##0\ &quot;FBu&quot;"/>
    <numFmt numFmtId="168" formatCode="#,##0.00\ &quot;FBu&quot;;\-#,##0.00\ &quot;FBu&quot;"/>
    <numFmt numFmtId="169" formatCode="#,##0.00\ &quot;FBu&quot;;[Red]\-#,##0.00\ &quot;FBu&quot;"/>
    <numFmt numFmtId="170" formatCode="_-* #,##0\ &quot;FBu&quot;_-;\-* #,##0\ &quot;FBu&quot;_-;_-* &quot;-&quot;\ &quot;FBu&quot;_-;_-@_-"/>
    <numFmt numFmtId="171" formatCode="_-* #,##0\ _F_B_u_-;\-* #,##0\ _F_B_u_-;_-* &quot;-&quot;\ _F_B_u_-;_-@_-"/>
    <numFmt numFmtId="172" formatCode="_-* #,##0.00\ &quot;FBu&quot;_-;\-* #,##0.00\ &quot;FBu&quot;_-;_-* &quot;-&quot;??\ &quot;FBu&quot;_-;_-@_-"/>
    <numFmt numFmtId="173" formatCode="_-* #,##0.00\ _F_B_u_-;\-* #,##0.00\ _F_B_u_-;_-* &quot;-&quot;??\ _F_B_u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8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7" fillId="0" borderId="0" xfId="0" applyNumberFormat="1" applyFont="1" applyFill="1" applyBorder="1" applyAlignment="1" applyProtection="1">
      <alignment/>
      <protection/>
    </xf>
    <xf numFmtId="198" fontId="27" fillId="0" borderId="0" xfId="0" applyNumberFormat="1" applyFont="1" applyFill="1" applyBorder="1" applyAlignment="1" applyProtection="1">
      <alignment/>
      <protection/>
    </xf>
    <xf numFmtId="196" fontId="27" fillId="33" borderId="0" xfId="0" applyNumberFormat="1" applyFont="1" applyFill="1" applyBorder="1" applyAlignment="1" applyProtection="1">
      <alignment/>
      <protection/>
    </xf>
    <xf numFmtId="199" fontId="27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196" fontId="27" fillId="0" borderId="14" xfId="0" applyNumberFormat="1" applyFont="1" applyFill="1" applyBorder="1" applyAlignment="1" applyProtection="1">
      <alignment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 quotePrefix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7" fillId="0" borderId="12" xfId="0" applyNumberFormat="1" applyFont="1" applyFill="1" applyBorder="1" applyAlignment="1" applyProtection="1">
      <alignment/>
      <protection/>
    </xf>
    <xf numFmtId="205" fontId="27" fillId="0" borderId="13" xfId="0" applyNumberFormat="1" applyFont="1" applyFill="1" applyBorder="1" applyAlignment="1" quotePrefix="1">
      <alignment horizontal="left"/>
    </xf>
    <xf numFmtId="196" fontId="27" fillId="0" borderId="13" xfId="0" applyNumberFormat="1" applyFont="1" applyFill="1" applyBorder="1" applyAlignment="1" applyProtection="1">
      <alignment horizontal="right"/>
      <protection/>
    </xf>
    <xf numFmtId="196" fontId="27" fillId="0" borderId="13" xfId="0" applyFont="1" applyFill="1" applyBorder="1" applyAlignment="1">
      <alignment horizontal="right"/>
    </xf>
    <xf numFmtId="199" fontId="27" fillId="0" borderId="13" xfId="0" applyNumberFormat="1" applyFont="1" applyBorder="1" applyAlignment="1" applyProtection="1">
      <alignment/>
      <protection/>
    </xf>
    <xf numFmtId="196" fontId="27" fillId="0" borderId="13" xfId="0" applyNumberFormat="1" applyFont="1" applyFill="1" applyBorder="1" applyAlignment="1" applyProtection="1" quotePrefix="1">
      <alignment horizontal="right"/>
      <protection/>
    </xf>
    <xf numFmtId="196" fontId="27" fillId="33" borderId="13" xfId="0" applyNumberFormat="1" applyFont="1" applyFill="1" applyBorder="1" applyAlignment="1" applyProtection="1">
      <alignment horizontal="right"/>
      <protection/>
    </xf>
    <xf numFmtId="201" fontId="27" fillId="0" borderId="13" xfId="0" applyNumberFormat="1" applyFont="1" applyFill="1" applyBorder="1" applyAlignment="1" applyProtection="1">
      <alignment horizontal="right"/>
      <protection/>
    </xf>
    <xf numFmtId="199" fontId="27" fillId="0" borderId="13" xfId="0" applyNumberFormat="1" applyFont="1" applyFill="1" applyBorder="1" applyAlignment="1" applyProtection="1">
      <alignment horizontal="right"/>
      <protection/>
    </xf>
    <xf numFmtId="202" fontId="27" fillId="0" borderId="13" xfId="0" applyNumberFormat="1" applyFont="1" applyBorder="1" applyAlignment="1" applyProtection="1" quotePrefix="1">
      <alignment horizontal="left"/>
      <protection/>
    </xf>
    <xf numFmtId="196" fontId="27" fillId="0" borderId="0" xfId="0" applyFont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4" borderId="15" xfId="0" applyFont="1" applyFill="1" applyBorder="1" applyAlignment="1">
      <alignment/>
    </xf>
    <xf numFmtId="0" fontId="59" fillId="6" borderId="0" xfId="44" applyFont="1" applyFill="1" applyAlignment="1" applyProtection="1">
      <alignment/>
      <protection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60" fillId="6" borderId="16" xfId="0" applyFont="1" applyFill="1" applyBorder="1" applyAlignment="1">
      <alignment/>
    </xf>
    <xf numFmtId="196" fontId="55" fillId="6" borderId="16" xfId="0" applyFont="1" applyFill="1" applyBorder="1" applyAlignment="1">
      <alignment/>
    </xf>
    <xf numFmtId="209" fontId="55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196" fontId="5" fillId="0" borderId="14" xfId="44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44" applyNumberFormat="1" applyFill="1" applyBorder="1" applyAlignment="1" applyProtection="1">
      <alignment/>
      <protection/>
    </xf>
    <xf numFmtId="196" fontId="55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5" fillId="6" borderId="0" xfId="0" applyNumberFormat="1" applyFont="1" applyFill="1" applyAlignment="1">
      <alignment horizontal="right"/>
    </xf>
    <xf numFmtId="196" fontId="35" fillId="0" borderId="13" xfId="0" applyNumberFormat="1" applyFont="1" applyFill="1" applyBorder="1" applyAlignment="1" applyProtection="1">
      <alignment horizontal="center"/>
      <protection/>
    </xf>
    <xf numFmtId="196" fontId="36" fillId="0" borderId="0" xfId="0" applyFont="1" applyAlignment="1">
      <alignment/>
    </xf>
    <xf numFmtId="196" fontId="27" fillId="0" borderId="0" xfId="0" applyFont="1" applyFill="1" applyAlignment="1">
      <alignment/>
    </xf>
    <xf numFmtId="205" fontId="36" fillId="0" borderId="13" xfId="0" applyNumberFormat="1" applyFont="1" applyFill="1" applyBorder="1" applyAlignment="1" quotePrefix="1">
      <alignment horizontal="left"/>
    </xf>
    <xf numFmtId="196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0" borderId="13" xfId="0" applyFont="1" applyFill="1" applyBorder="1" applyAlignment="1">
      <alignment horizontal="right"/>
    </xf>
    <xf numFmtId="199" fontId="36" fillId="0" borderId="13" xfId="0" applyNumberFormat="1" applyFont="1" applyBorder="1" applyAlignment="1">
      <alignment/>
    </xf>
    <xf numFmtId="196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33" borderId="13" xfId="0" applyNumberFormat="1" applyFont="1" applyFill="1" applyBorder="1" applyAlignment="1" applyProtection="1">
      <alignment horizontal="right"/>
      <protection/>
    </xf>
    <xf numFmtId="201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Border="1" applyAlignment="1" applyProtection="1">
      <alignment/>
      <protection/>
    </xf>
    <xf numFmtId="196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  <xf numFmtId="198" fontId="28" fillId="35" borderId="13" xfId="0" applyNumberFormat="1" applyFont="1" applyFill="1" applyBorder="1" applyAlignment="1" applyProtection="1">
      <alignment vertical="center" wrapText="1"/>
      <protection/>
    </xf>
    <xf numFmtId="199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vertical="center"/>
      <protection/>
    </xf>
    <xf numFmtId="196" fontId="36" fillId="0" borderId="13" xfId="0" applyNumberFormat="1" applyFont="1" applyFill="1" applyBorder="1" applyAlignment="1" applyProtection="1">
      <alignment horizontal="center"/>
      <protection/>
    </xf>
    <xf numFmtId="198" fontId="36" fillId="0" borderId="13" xfId="0" applyNumberFormat="1" applyFont="1" applyFill="1" applyBorder="1" applyAlignment="1" applyProtection="1">
      <alignment horizontal="center"/>
      <protection/>
    </xf>
    <xf numFmtId="196" fontId="36" fillId="33" borderId="13" xfId="0" applyNumberFormat="1" applyFont="1" applyFill="1" applyBorder="1" applyAlignment="1" applyProtection="1">
      <alignment horizontal="center"/>
      <protection/>
    </xf>
    <xf numFmtId="199" fontId="36" fillId="0" borderId="13" xfId="0" applyNumberFormat="1" applyFont="1" applyFill="1" applyBorder="1" applyAlignment="1" applyProtection="1">
      <alignment horizontal="center"/>
      <protection/>
    </xf>
    <xf numFmtId="0" fontId="36" fillId="0" borderId="13" xfId="0" applyNumberFormat="1" applyFont="1" applyFill="1" applyBorder="1" applyAlignment="1" quotePrefix="1">
      <alignment horizontal="center" vertical="center"/>
    </xf>
    <xf numFmtId="196" fontId="35" fillId="0" borderId="0" xfId="0" applyFont="1" applyFill="1" applyBorder="1" applyAlignment="1">
      <alignment horizontal="left"/>
    </xf>
    <xf numFmtId="196" fontId="61" fillId="0" borderId="0" xfId="0" applyFont="1" applyBorder="1" applyAlignment="1">
      <alignment horizontal="center" wrapText="1"/>
    </xf>
    <xf numFmtId="196" fontId="55" fillId="6" borderId="0" xfId="0" applyFont="1" applyFill="1" applyAlignment="1">
      <alignment wrapText="1"/>
    </xf>
    <xf numFmtId="211" fontId="36" fillId="0" borderId="13" xfId="0" applyNumberFormat="1" applyFont="1" applyFill="1" applyBorder="1" applyAlignment="1" applyProtection="1" quotePrefix="1">
      <alignment horizontal="left"/>
      <protection/>
    </xf>
    <xf numFmtId="196" fontId="35" fillId="0" borderId="19" xfId="0" applyFont="1" applyFill="1" applyBorder="1" applyAlignment="1">
      <alignment horizontal="left"/>
    </xf>
    <xf numFmtId="196" fontId="35" fillId="0" borderId="20" xfId="0" applyFont="1" applyFill="1" applyBorder="1" applyAlignment="1">
      <alignment horizontal="left"/>
    </xf>
    <xf numFmtId="196" fontId="35" fillId="0" borderId="21" xfId="0" applyFont="1" applyFill="1" applyBorder="1" applyAlignment="1">
      <alignment horizontal="left"/>
    </xf>
    <xf numFmtId="196" fontId="28" fillId="0" borderId="14" xfId="0" applyNumberFormat="1" applyFont="1" applyFill="1" applyBorder="1" applyAlignment="1" applyProtection="1">
      <alignment horizontal="center"/>
      <protection/>
    </xf>
    <xf numFmtId="196" fontId="28" fillId="0" borderId="0" xfId="0" applyNumberFormat="1" applyFont="1" applyFill="1" applyBorder="1" applyAlignment="1" applyProtection="1">
      <alignment horizontal="center"/>
      <protection/>
    </xf>
    <xf numFmtId="196" fontId="28" fillId="0" borderId="12" xfId="0" applyNumberFormat="1" applyFont="1" applyFill="1" applyBorder="1" applyAlignment="1" applyProtection="1">
      <alignment horizontal="center"/>
      <protection/>
    </xf>
    <xf numFmtId="196" fontId="28" fillId="35" borderId="13" xfId="0" applyNumberFormat="1" applyFont="1" applyFill="1" applyBorder="1" applyAlignment="1" applyProtection="1">
      <alignment horizontal="center" vertical="center"/>
      <protection/>
    </xf>
    <xf numFmtId="196" fontId="28" fillId="35" borderId="22" xfId="0" applyNumberFormat="1" applyFont="1" applyFill="1" applyBorder="1" applyAlignment="1" applyProtection="1">
      <alignment horizontal="center" vertical="center"/>
      <protection/>
    </xf>
    <xf numFmtId="196" fontId="28" fillId="35" borderId="23" xfId="0" applyNumberFormat="1" applyFont="1" applyFill="1" applyBorder="1" applyAlignment="1" applyProtection="1">
      <alignment horizontal="center" vertical="center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zoomScalePageLayoutView="0" workbookViewId="0" topLeftCell="D1">
      <selection activeCell="E14" sqref="E14"/>
    </sheetView>
  </sheetViews>
  <sheetFormatPr defaultColWidth="8.88671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8.88671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44196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71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72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64"/>
  <sheetViews>
    <sheetView tabSelected="1" zoomScalePageLayoutView="0" workbookViewId="0" topLeftCell="A1">
      <pane xSplit="1" ySplit="6" topLeftCell="S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63" sqref="Y163"/>
    </sheetView>
  </sheetViews>
  <sheetFormatPr defaultColWidth="11.5546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1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5" t="s">
        <v>43</v>
      </c>
      <c r="B5" s="94" t="s">
        <v>1</v>
      </c>
      <c r="C5" s="94"/>
      <c r="D5" s="94"/>
      <c r="E5" s="94"/>
      <c r="F5" s="94"/>
      <c r="G5" s="94"/>
      <c r="H5" s="94"/>
      <c r="I5" s="94"/>
      <c r="J5" s="94" t="s">
        <v>2</v>
      </c>
      <c r="K5" s="94"/>
      <c r="L5" s="94"/>
      <c r="M5" s="94"/>
      <c r="N5" s="94"/>
      <c r="O5" s="94"/>
      <c r="P5" s="94"/>
      <c r="Q5" s="94"/>
      <c r="R5" s="94"/>
      <c r="S5" s="94"/>
      <c r="T5" s="94" t="s">
        <v>19</v>
      </c>
      <c r="U5" s="94" t="s">
        <v>20</v>
      </c>
    </row>
    <row r="6" spans="1:21" s="40" customFormat="1" ht="56.25">
      <c r="A6" s="96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4"/>
      <c r="U6" s="94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38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38">SUM(J7:R7)</f>
        <v>113889.99999999999</v>
      </c>
      <c r="T7" s="65">
        <v>365559.8</v>
      </c>
      <c r="U7" s="65">
        <f aca="true" t="shared" si="2" ref="U7:U38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aca="true" t="shared" si="3" ref="I39:I70">SUM(B39:H39)</f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aca="true" t="shared" si="4" ref="S39:S70">SUM(J39:R39)</f>
        <v>184266.00000000003</v>
      </c>
      <c r="T39" s="65">
        <v>637143.3</v>
      </c>
      <c r="U39" s="65">
        <f aca="true" t="shared" si="5" ref="U39:U70">T39/I39</f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3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4"/>
        <v>165034.60000000006</v>
      </c>
      <c r="T40" s="65">
        <v>628055.3</v>
      </c>
      <c r="U40" s="65">
        <f t="shared" si="5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3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4"/>
        <v>180713.60000000006</v>
      </c>
      <c r="T41" s="65">
        <v>640335.809</v>
      </c>
      <c r="U41" s="65">
        <f t="shared" si="5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3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4"/>
        <v>211638.8</v>
      </c>
      <c r="T42" s="65">
        <v>706363.915503</v>
      </c>
      <c r="U42" s="65">
        <f t="shared" si="5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3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4"/>
        <v>191903.09999999998</v>
      </c>
      <c r="T43" s="65">
        <v>670982.581568</v>
      </c>
      <c r="U43" s="65">
        <f t="shared" si="5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3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4"/>
        <v>177728.00000000003</v>
      </c>
      <c r="T44" s="65">
        <v>671842.2</v>
      </c>
      <c r="U44" s="65">
        <f t="shared" si="5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3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4"/>
        <v>194132.79999999996</v>
      </c>
      <c r="T45" s="65">
        <v>692784.316288</v>
      </c>
      <c r="U45" s="65">
        <f t="shared" si="5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3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4"/>
        <v>197672.19999999998</v>
      </c>
      <c r="T46" s="65">
        <v>699305.0000000001</v>
      </c>
      <c r="U46" s="65">
        <f t="shared" si="5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3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4"/>
        <v>192955.90000000002</v>
      </c>
      <c r="T47" s="65">
        <v>704920.1162879999</v>
      </c>
      <c r="U47" s="65">
        <f t="shared" si="5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3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4"/>
        <v>210990.8000000001</v>
      </c>
      <c r="T48" s="65">
        <v>728615.808725</v>
      </c>
      <c r="U48" s="65">
        <f t="shared" si="5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3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4"/>
        <v>225625.4</v>
      </c>
      <c r="T49" s="65">
        <v>763394.208420111</v>
      </c>
      <c r="U49" s="65">
        <f t="shared" si="5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3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4"/>
        <v>221706.30000000008</v>
      </c>
      <c r="T50" s="65">
        <v>757596.139141222</v>
      </c>
      <c r="U50" s="65">
        <f t="shared" si="5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3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4"/>
        <v>207640.3000000001</v>
      </c>
      <c r="T51" s="65">
        <v>726660.4833333334</v>
      </c>
      <c r="U51" s="65">
        <f t="shared" si="5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3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4"/>
        <v>194451.80000000005</v>
      </c>
      <c r="T52" s="65">
        <v>731234.3208424444</v>
      </c>
      <c r="U52" s="65">
        <f t="shared" si="5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3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4"/>
        <v>183951.3</v>
      </c>
      <c r="T53" s="65">
        <v>716747.6123395556</v>
      </c>
      <c r="U53" s="65">
        <f t="shared" si="5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3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4"/>
        <v>211326.1</v>
      </c>
      <c r="T54" s="65">
        <v>755801.5666666665</v>
      </c>
      <c r="U54" s="65">
        <f t="shared" si="5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3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4"/>
        <v>189585.80000000025</v>
      </c>
      <c r="T55" s="65">
        <v>751114.8589367779</v>
      </c>
      <c r="U55" s="65">
        <f t="shared" si="5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3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4"/>
        <v>199522.60000000003</v>
      </c>
      <c r="T56" s="65">
        <v>752007.526864889</v>
      </c>
      <c r="U56" s="65">
        <f t="shared" si="5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3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4"/>
        <v>193687.60000000015</v>
      </c>
      <c r="T57" s="65">
        <v>742473.75</v>
      </c>
      <c r="U57" s="65">
        <f t="shared" si="5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3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4"/>
        <v>203580.70000000007</v>
      </c>
      <c r="T58" s="65">
        <v>754201.1288121111</v>
      </c>
      <c r="U58" s="65">
        <f t="shared" si="5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3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4"/>
        <v>204863.9</v>
      </c>
      <c r="T59" s="65">
        <v>743975.0069102221</v>
      </c>
      <c r="U59" s="65">
        <f t="shared" si="5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3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4"/>
        <v>217934.99999999997</v>
      </c>
      <c r="T60" s="65">
        <v>765737.4695173332</v>
      </c>
      <c r="U60" s="65">
        <f t="shared" si="5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3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4"/>
        <v>231940.30000000002</v>
      </c>
      <c r="T61" s="65">
        <v>786457.4305671111</v>
      </c>
      <c r="U61" s="65">
        <f t="shared" si="5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3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4"/>
        <v>229997.3</v>
      </c>
      <c r="T62" s="65">
        <v>817967.6353208888</v>
      </c>
      <c r="U62" s="65">
        <f t="shared" si="5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3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4"/>
        <v>221174.19999999995</v>
      </c>
      <c r="T63" s="65">
        <v>809062.7666666668</v>
      </c>
      <c r="U63" s="65">
        <f t="shared" si="5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3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4"/>
        <v>234181.00000000012</v>
      </c>
      <c r="T64" s="65">
        <v>816104.3444444445</v>
      </c>
      <c r="U64" s="65">
        <f t="shared" si="5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3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4"/>
        <v>240037.40000000002</v>
      </c>
      <c r="T65" s="65">
        <v>827421.6222222222</v>
      </c>
      <c r="U65" s="65">
        <f t="shared" si="5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3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4"/>
        <v>267286.10000000003</v>
      </c>
      <c r="T66" s="65">
        <v>877253.3</v>
      </c>
      <c r="U66" s="65">
        <f t="shared" si="5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t="shared" si="3"/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t="shared" si="4"/>
        <v>235410.59999999992</v>
      </c>
      <c r="T67" s="65">
        <v>870333.6916666667</v>
      </c>
      <c r="U67" s="65">
        <f t="shared" si="5"/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aca="true" t="shared" si="6" ref="I71:I102">SUM(B71:H71)</f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aca="true" t="shared" si="7" ref="S71:S102">SUM(J71:R71)</f>
        <v>259272.8000000001</v>
      </c>
      <c r="T71" s="65">
        <v>928294.3583333334</v>
      </c>
      <c r="U71" s="65">
        <f aca="true" t="shared" si="8" ref="U71:U102">T71/I71</f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6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7"/>
        <v>280590.0000000001</v>
      </c>
      <c r="T72" s="65">
        <v>927922.8499999996</v>
      </c>
      <c r="U72" s="65">
        <f t="shared" si="8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6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7"/>
        <v>255158.6000000001</v>
      </c>
      <c r="T73" s="65">
        <v>933506.9083333334</v>
      </c>
      <c r="U73" s="65">
        <f t="shared" si="8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6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7"/>
        <v>288866.1</v>
      </c>
      <c r="T74" s="65">
        <v>956476.3666666668</v>
      </c>
      <c r="U74" s="65">
        <f t="shared" si="8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6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7"/>
        <v>277412.60000000003</v>
      </c>
      <c r="T75" s="65">
        <v>956466.325</v>
      </c>
      <c r="U75" s="65">
        <f t="shared" si="8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6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7"/>
        <v>289221.89999999997</v>
      </c>
      <c r="T76" s="65">
        <v>960604.4833333332</v>
      </c>
      <c r="U76" s="65">
        <f t="shared" si="8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6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7"/>
        <v>287392.50000000006</v>
      </c>
      <c r="T77" s="65">
        <v>963431.5416666665</v>
      </c>
      <c r="U77" s="65">
        <f t="shared" si="8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6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7"/>
        <v>306586.0999999999</v>
      </c>
      <c r="T78" s="65">
        <v>986748.8</v>
      </c>
      <c r="U78" s="65">
        <f t="shared" si="8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6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7"/>
        <v>272888.5</v>
      </c>
      <c r="T79" s="65">
        <v>965205.5833333333</v>
      </c>
      <c r="U79" s="65">
        <f t="shared" si="8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6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7"/>
        <v>266243.89999999997</v>
      </c>
      <c r="T80" s="65">
        <v>976744.4666666668</v>
      </c>
      <c r="U80" s="65">
        <f t="shared" si="8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6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7"/>
        <v>276199.49999999994</v>
      </c>
      <c r="T81" s="65">
        <v>988233.8499999999</v>
      </c>
      <c r="U81" s="65">
        <f t="shared" si="8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6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7"/>
        <v>307052.19999999995</v>
      </c>
      <c r="T82" s="65">
        <v>1033925.333333333</v>
      </c>
      <c r="U82" s="65">
        <f t="shared" si="8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6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7"/>
        <v>318437.3999999999</v>
      </c>
      <c r="T83" s="65">
        <v>1024057.3166666667</v>
      </c>
      <c r="U83" s="65">
        <f t="shared" si="8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6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7"/>
        <v>334898.5</v>
      </c>
      <c r="T84" s="65">
        <v>1050599.4</v>
      </c>
      <c r="U84" s="65">
        <f t="shared" si="8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6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7"/>
        <v>342838.1</v>
      </c>
      <c r="T85" s="65">
        <v>1100681.2666666664</v>
      </c>
      <c r="U85" s="65">
        <f t="shared" si="8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6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7"/>
        <v>338034.80000000005</v>
      </c>
      <c r="T86" s="65">
        <v>1093021.7555555557</v>
      </c>
      <c r="U86" s="65">
        <f t="shared" si="8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6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7"/>
        <v>309676.1000000001</v>
      </c>
      <c r="T87" s="65">
        <v>1052584.2055555554</v>
      </c>
      <c r="U87" s="65">
        <f t="shared" si="8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6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7"/>
        <v>370345.99999999994</v>
      </c>
      <c r="T88" s="65">
        <v>1089090.962962963</v>
      </c>
      <c r="U88" s="65">
        <f t="shared" si="8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6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7"/>
        <v>330835.7</v>
      </c>
      <c r="T89" s="65">
        <v>1056615.1586419751</v>
      </c>
      <c r="U89" s="65">
        <f t="shared" si="8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6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7"/>
        <v>355001</v>
      </c>
      <c r="T90" s="65">
        <v>1107089.4000000001</v>
      </c>
      <c r="U90" s="65">
        <f t="shared" si="8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6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7"/>
        <v>317812.4000000001</v>
      </c>
      <c r="T91" s="65">
        <v>1079164.5833333333</v>
      </c>
      <c r="U91" s="65">
        <f t="shared" si="8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6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7"/>
        <v>361346.3999999999</v>
      </c>
      <c r="T92" s="65">
        <v>1089757.0666666664</v>
      </c>
      <c r="U92" s="65">
        <f t="shared" si="8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6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7"/>
        <v>302797.2</v>
      </c>
      <c r="T93" s="65">
        <v>1064238.65</v>
      </c>
      <c r="U93" s="65">
        <f t="shared" si="8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6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7"/>
        <v>320419.2</v>
      </c>
      <c r="T94" s="65">
        <v>1108914.6333333335</v>
      </c>
      <c r="U94" s="65">
        <f t="shared" si="8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6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7"/>
        <v>331762.89999999997</v>
      </c>
      <c r="T95" s="65">
        <v>1127841.6166666667</v>
      </c>
      <c r="U95" s="65">
        <f t="shared" si="8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6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7"/>
        <v>334494.89999999997</v>
      </c>
      <c r="T96" s="65">
        <v>1104077.7999999996</v>
      </c>
      <c r="U96" s="65">
        <f t="shared" si="8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6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7"/>
        <v>327878.70000000007</v>
      </c>
      <c r="T97" s="65">
        <v>1102324</v>
      </c>
      <c r="U97" s="65">
        <f t="shared" si="8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6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7"/>
        <v>328735.20000000007</v>
      </c>
      <c r="T98" s="65">
        <v>1110766.5777777778</v>
      </c>
      <c r="U98" s="65">
        <f t="shared" si="8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6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7"/>
        <v>314314</v>
      </c>
      <c r="T99" s="65">
        <v>1107152.9944444443</v>
      </c>
      <c r="U99" s="65">
        <f t="shared" si="8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6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7"/>
        <v>354013.80000000005</v>
      </c>
      <c r="T100" s="65">
        <v>1146162.1703703701</v>
      </c>
      <c r="U100" s="65">
        <f t="shared" si="8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6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7"/>
        <v>320756.6</v>
      </c>
      <c r="T101" s="65">
        <v>1088495.485802469</v>
      </c>
      <c r="U101" s="65">
        <f t="shared" si="8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6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7"/>
        <v>324508.2</v>
      </c>
      <c r="T102" s="65">
        <v>1106380</v>
      </c>
      <c r="U102" s="65">
        <f t="shared" si="8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aca="true" t="shared" si="9" ref="I103:I114">SUM(B103:H103)</f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aca="true" t="shared" si="10" ref="S103:S134">SUM(J103:R103)</f>
        <v>329804.89999999997</v>
      </c>
      <c r="T103" s="65">
        <v>1091814.066666667</v>
      </c>
      <c r="U103" s="65">
        <f aca="true" t="shared" si="11" ref="U103:U134">T103/I103</f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9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10"/>
        <v>333847.9</v>
      </c>
      <c r="T104" s="65">
        <v>1108364.6333333333</v>
      </c>
      <c r="U104" s="65">
        <f t="shared" si="11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9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10"/>
        <v>323262</v>
      </c>
      <c r="T105" s="65">
        <v>1079593.5999999999</v>
      </c>
      <c r="U105" s="65">
        <f t="shared" si="11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9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10"/>
        <v>349744.49999999994</v>
      </c>
      <c r="T106" s="65">
        <v>1105144.2666666664</v>
      </c>
      <c r="U106" s="65">
        <f t="shared" si="11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9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10"/>
        <v>354477.20000000007</v>
      </c>
      <c r="T107" s="65">
        <v>1104586.5333333334</v>
      </c>
      <c r="U107" s="65">
        <f t="shared" si="11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9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10"/>
        <v>364068.9</v>
      </c>
      <c r="T108" s="65">
        <v>1122380.2999999998</v>
      </c>
      <c r="U108" s="65">
        <f t="shared" si="11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9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10"/>
        <v>382330.4</v>
      </c>
      <c r="T109" s="65">
        <v>1124321</v>
      </c>
      <c r="U109" s="65">
        <f t="shared" si="11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9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10"/>
        <v>367434.20000000007</v>
      </c>
      <c r="T110" s="65">
        <v>1133928.8</v>
      </c>
      <c r="U110" s="65">
        <f t="shared" si="11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9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10"/>
        <v>389700.6</v>
      </c>
      <c r="T111" s="65">
        <v>1136853.5</v>
      </c>
      <c r="U111" s="65">
        <f t="shared" si="11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9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10"/>
        <v>377511.2</v>
      </c>
      <c r="T112" s="65">
        <v>1142474.4666666666</v>
      </c>
      <c r="U112" s="65">
        <f t="shared" si="11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9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10"/>
        <v>402065.99999999994</v>
      </c>
      <c r="T113" s="65">
        <v>1162715.7888888887</v>
      </c>
      <c r="U113" s="65">
        <f t="shared" si="11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9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10"/>
        <v>419224.00000000006</v>
      </c>
      <c r="T114" s="65">
        <v>1187101.8</v>
      </c>
      <c r="U114" s="65">
        <f t="shared" si="11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12" ref="I115:I162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10"/>
        <v>483107.4</v>
      </c>
      <c r="T115" s="65">
        <v>1226183.0666666667</v>
      </c>
      <c r="U115" s="65">
        <f t="shared" si="11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12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10"/>
        <v>459433.80000000005</v>
      </c>
      <c r="T116" s="65">
        <v>1253536.8333333333</v>
      </c>
      <c r="U116" s="65">
        <f t="shared" si="11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12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10"/>
        <v>486327.8</v>
      </c>
      <c r="T117" s="65">
        <v>1299479.7</v>
      </c>
      <c r="U117" s="65">
        <f t="shared" si="11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12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10"/>
        <v>482272.8</v>
      </c>
      <c r="T118" s="65">
        <v>1334499.8</v>
      </c>
      <c r="U118" s="65">
        <f t="shared" si="11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12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10"/>
        <v>491780.39999999985</v>
      </c>
      <c r="T119" s="65">
        <v>1372733.4999999998</v>
      </c>
      <c r="U119" s="65">
        <f t="shared" si="11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12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10"/>
        <v>467625.5000000002</v>
      </c>
      <c r="T120" s="65">
        <v>1417053.1</v>
      </c>
      <c r="U120" s="65">
        <f t="shared" si="11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12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10"/>
        <v>467852.7</v>
      </c>
      <c r="T121" s="65">
        <v>1420411.4166666667</v>
      </c>
      <c r="U121" s="65">
        <f t="shared" si="11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12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10"/>
        <v>507304.99999999994</v>
      </c>
      <c r="T122" s="65">
        <v>1436509.0333333332</v>
      </c>
      <c r="U122" s="65">
        <f t="shared" si="11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12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10"/>
        <v>523365.79999999993</v>
      </c>
      <c r="T123" s="65">
        <v>1428077.7500000002</v>
      </c>
      <c r="U123" s="65">
        <f t="shared" si="11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12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10"/>
        <v>514519.89999999997</v>
      </c>
      <c r="T124" s="65">
        <v>1448987.7999999998</v>
      </c>
      <c r="U124" s="65">
        <f t="shared" si="11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12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10"/>
        <v>516389.80000000005</v>
      </c>
      <c r="T125" s="65">
        <v>1465561.4500000002</v>
      </c>
      <c r="U125" s="65">
        <f t="shared" si="11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12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10"/>
        <v>580870.9</v>
      </c>
      <c r="T126" s="65">
        <v>1499512.9000000001</v>
      </c>
      <c r="U126" s="65">
        <f t="shared" si="11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12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10"/>
        <v>560392.5000000001</v>
      </c>
      <c r="T127" s="65">
        <v>1518403.9</v>
      </c>
      <c r="U127" s="65">
        <f t="shared" si="11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12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10"/>
        <v>544979.7</v>
      </c>
      <c r="T128" s="65">
        <v>1551244.4</v>
      </c>
      <c r="U128" s="65">
        <f t="shared" si="11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12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10"/>
        <v>518671.2</v>
      </c>
      <c r="T129" s="65">
        <v>1576438.5</v>
      </c>
      <c r="U129" s="65">
        <f t="shared" si="11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12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10"/>
        <v>562023.5</v>
      </c>
      <c r="T130" s="65">
        <v>1573210</v>
      </c>
      <c r="U130" s="65">
        <f t="shared" si="11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12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10"/>
        <v>538782.5999999999</v>
      </c>
      <c r="T131" s="65">
        <v>1587421.3000000005</v>
      </c>
      <c r="U131" s="65">
        <f t="shared" si="11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12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10"/>
        <v>548546.9</v>
      </c>
      <c r="T132" s="65">
        <v>1620461.3000000003</v>
      </c>
      <c r="U132" s="65">
        <f t="shared" si="11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12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10"/>
        <v>577438.7000000002</v>
      </c>
      <c r="T133" s="65">
        <v>1652078.5000000002</v>
      </c>
      <c r="U133" s="65">
        <f t="shared" si="11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12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10"/>
        <v>597356.4</v>
      </c>
      <c r="T134" s="65">
        <v>1696857.6</v>
      </c>
      <c r="U134" s="65">
        <f t="shared" si="11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12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aca="true" t="shared" si="13" ref="S135:S162">SUM(J135:R135)</f>
        <v>551715.3</v>
      </c>
      <c r="T135" s="65">
        <v>1688923.0999999999</v>
      </c>
      <c r="U135" s="65">
        <f aca="true" t="shared" si="14" ref="U135:U162">T135/I135</f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12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13"/>
        <v>569708.6999999998</v>
      </c>
      <c r="T136" s="65">
        <v>1738754.2999999998</v>
      </c>
      <c r="U136" s="65">
        <f t="shared" si="14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12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13"/>
        <v>535198.2999999999</v>
      </c>
      <c r="T137" s="65">
        <v>1756673.7</v>
      </c>
      <c r="U137" s="65">
        <f t="shared" si="14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12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13"/>
        <v>564828.8</v>
      </c>
      <c r="T138" s="65">
        <v>1797468.9000000001</v>
      </c>
      <c r="U138" s="65">
        <f t="shared" si="14"/>
        <v>3.182325157640687</v>
      </c>
    </row>
    <row r="139" spans="1:21" s="62" customFormat="1" ht="15.75">
      <c r="A139" s="64">
        <v>43466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12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13"/>
        <v>518679.5000000001</v>
      </c>
      <c r="T139" s="65">
        <v>1832440.933333333</v>
      </c>
      <c r="U139" s="65">
        <f t="shared" si="14"/>
        <v>3.5328963904170747</v>
      </c>
    </row>
    <row r="140" spans="1:21" s="62" customFormat="1" ht="15.75">
      <c r="A140" s="64">
        <v>43524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12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13"/>
        <v>586037.1000000001</v>
      </c>
      <c r="T140" s="65">
        <v>1852634.4666666663</v>
      </c>
      <c r="U140" s="65">
        <f t="shared" si="14"/>
        <v>3.1612921206979334</v>
      </c>
    </row>
    <row r="141" spans="1:21" s="62" customFormat="1" ht="15.75">
      <c r="A141" s="64">
        <v>43555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12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13"/>
        <v>606977.6000000001</v>
      </c>
      <c r="T141" s="65">
        <v>1885235.1999999997</v>
      </c>
      <c r="U141" s="65">
        <f t="shared" si="14"/>
        <v>3.105938670553905</v>
      </c>
    </row>
    <row r="142" spans="1:21" s="62" customFormat="1" ht="15.75">
      <c r="A142" s="64">
        <v>43585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12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13"/>
        <v>595763.0000000001</v>
      </c>
      <c r="T142" s="65">
        <v>1901027.7666666668</v>
      </c>
      <c r="U142" s="65">
        <f t="shared" si="14"/>
        <v>3.190912773479835</v>
      </c>
    </row>
    <row r="143" spans="1:21" s="62" customFormat="1" ht="15.75">
      <c r="A143" s="64">
        <v>43616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12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13"/>
        <v>594139.2000000001</v>
      </c>
      <c r="T143" s="65">
        <v>1954704.6333333338</v>
      </c>
      <c r="U143" s="65">
        <f t="shared" si="14"/>
        <v>3.2899775563257463</v>
      </c>
    </row>
    <row r="144" spans="1:21" s="62" customFormat="1" ht="15.75">
      <c r="A144" s="64">
        <v>43646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12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13"/>
        <v>657960.5000000001</v>
      </c>
      <c r="T144" s="65">
        <v>2029488.7000000002</v>
      </c>
      <c r="U144" s="65">
        <f t="shared" si="14"/>
        <v>3.084514495930987</v>
      </c>
    </row>
    <row r="145" spans="1:21" s="62" customFormat="1" ht="18">
      <c r="A145" s="64" t="s">
        <v>68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t="shared" si="12"/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13"/>
        <v>640774.1000000001</v>
      </c>
      <c r="T145" s="65">
        <v>2046483.133333333</v>
      </c>
      <c r="U145" s="65">
        <f t="shared" si="14"/>
        <v>3.19376693492033</v>
      </c>
    </row>
    <row r="146" spans="1:21" s="62" customFormat="1" ht="18">
      <c r="A146" s="64" t="s">
        <v>62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12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13"/>
        <v>624568.8</v>
      </c>
      <c r="T146" s="65">
        <v>2076361.7666666666</v>
      </c>
      <c r="U146" s="65">
        <f t="shared" si="14"/>
        <v>3.3244724466970923</v>
      </c>
    </row>
    <row r="147" spans="1:21" s="62" customFormat="1" ht="18">
      <c r="A147" s="64" t="s">
        <v>63</v>
      </c>
      <c r="B147" s="65">
        <v>373777.4</v>
      </c>
      <c r="C147" s="65">
        <v>200245.8</v>
      </c>
      <c r="D147" s="65">
        <v>13233.099999999999</v>
      </c>
      <c r="E147" s="65">
        <v>3326.6</v>
      </c>
      <c r="F147" s="65">
        <v>12715.200000000003</v>
      </c>
      <c r="G147" s="65">
        <v>1.4</v>
      </c>
      <c r="H147" s="67">
        <f>2563.7+38573.2</f>
        <v>41136.899999999994</v>
      </c>
      <c r="I147" s="65">
        <f t="shared" si="12"/>
        <v>644436.4</v>
      </c>
      <c r="J147" s="73">
        <f>145197.8+7031.5-295964.1</f>
        <v>-143734.8</v>
      </c>
      <c r="K147" s="65">
        <f>756889.1-465555.2</f>
        <v>291333.89999999997</v>
      </c>
      <c r="L147" s="69">
        <v>399460.9</v>
      </c>
      <c r="M147" s="69">
        <v>0</v>
      </c>
      <c r="N147" s="65">
        <v>20</v>
      </c>
      <c r="O147" s="70"/>
      <c r="P147" s="65">
        <v>24409.9</v>
      </c>
      <c r="Q147" s="69" t="s">
        <v>4</v>
      </c>
      <c r="R147" s="72">
        <f>157.9+887.8+210464.2-7031.5-29487.1-1894.5-146196.7+46046.4</f>
        <v>72946.5</v>
      </c>
      <c r="S147" s="65">
        <f t="shared" si="13"/>
        <v>644436.4</v>
      </c>
      <c r="T147" s="65">
        <v>2076038.7000000002</v>
      </c>
      <c r="U147" s="65">
        <f t="shared" si="14"/>
        <v>3.221479575020902</v>
      </c>
    </row>
    <row r="148" spans="1:21" s="62" customFormat="1" ht="18">
      <c r="A148" s="64" t="s">
        <v>64</v>
      </c>
      <c r="B148" s="65">
        <v>380035.6</v>
      </c>
      <c r="C148" s="65">
        <v>154206.6</v>
      </c>
      <c r="D148" s="65">
        <v>21572.2</v>
      </c>
      <c r="E148" s="65">
        <v>4186.6</v>
      </c>
      <c r="F148" s="65">
        <v>13451.7</v>
      </c>
      <c r="G148" s="65">
        <v>1.8</v>
      </c>
      <c r="H148" s="67">
        <f>1909.6+37713</f>
        <v>39622.6</v>
      </c>
      <c r="I148" s="65">
        <f t="shared" si="12"/>
        <v>613077.1</v>
      </c>
      <c r="J148" s="73">
        <f>133444.6+5935-293793.8</f>
        <v>-154414.19999999998</v>
      </c>
      <c r="K148" s="65">
        <f>751684.2-499593.6</f>
        <v>252090.59999999998</v>
      </c>
      <c r="L148" s="69">
        <v>407267.4</v>
      </c>
      <c r="M148" s="69">
        <v>0</v>
      </c>
      <c r="N148" s="65">
        <v>20</v>
      </c>
      <c r="O148" s="70"/>
      <c r="P148" s="65">
        <v>24842.7</v>
      </c>
      <c r="Q148" s="69" t="s">
        <v>4</v>
      </c>
      <c r="R148" s="72">
        <f>157.9+887.8+190694.5-5935-25297.1-2098.7-133864.6+58725.8</f>
        <v>83270.59999999999</v>
      </c>
      <c r="S148" s="65">
        <f t="shared" si="13"/>
        <v>613077.1</v>
      </c>
      <c r="T148" s="65">
        <v>2080439.5</v>
      </c>
      <c r="U148" s="65">
        <f t="shared" si="14"/>
        <v>3.393438606661381</v>
      </c>
    </row>
    <row r="149" spans="1:21" s="62" customFormat="1" ht="18">
      <c r="A149" s="64" t="s">
        <v>65</v>
      </c>
      <c r="B149" s="65">
        <v>382648.3</v>
      </c>
      <c r="C149" s="65">
        <v>171379.8</v>
      </c>
      <c r="D149" s="65">
        <v>15201.2</v>
      </c>
      <c r="E149" s="65">
        <v>2826.1</v>
      </c>
      <c r="F149" s="65">
        <v>12715.3</v>
      </c>
      <c r="G149" s="65">
        <v>2.5</v>
      </c>
      <c r="H149" s="67">
        <f>2438+44646.8</f>
        <v>47084.8</v>
      </c>
      <c r="I149" s="65">
        <f t="shared" si="12"/>
        <v>631858</v>
      </c>
      <c r="J149" s="73">
        <f>120957.2+5935-290211.4</f>
        <v>-163319.2</v>
      </c>
      <c r="K149" s="65">
        <f>749081.8-478720.8</f>
        <v>270361.00000000006</v>
      </c>
      <c r="L149" s="69">
        <v>406550</v>
      </c>
      <c r="M149" s="69">
        <v>0</v>
      </c>
      <c r="N149" s="65">
        <v>20</v>
      </c>
      <c r="O149" s="70"/>
      <c r="P149" s="65">
        <v>24881.100000000002</v>
      </c>
      <c r="Q149" s="69" t="s">
        <v>4</v>
      </c>
      <c r="R149" s="72">
        <f>157.9+887.8+197156.8-5935-25043.6-2061.7-128369.8+56572.7</f>
        <v>93365.09999999998</v>
      </c>
      <c r="S149" s="65">
        <f t="shared" si="13"/>
        <v>631858</v>
      </c>
      <c r="T149" s="65">
        <v>2111649.3</v>
      </c>
      <c r="U149" s="65">
        <f t="shared" si="14"/>
        <v>3.341968132080309</v>
      </c>
    </row>
    <row r="150" spans="1:21" s="62" customFormat="1" ht="18">
      <c r="A150" s="64" t="s">
        <v>66</v>
      </c>
      <c r="B150" s="65">
        <v>414814.9</v>
      </c>
      <c r="C150" s="65">
        <v>208123.19999999998</v>
      </c>
      <c r="D150" s="65">
        <v>22962.1</v>
      </c>
      <c r="E150" s="65">
        <v>4340</v>
      </c>
      <c r="F150" s="65">
        <v>5405</v>
      </c>
      <c r="G150" s="65">
        <v>1.2</v>
      </c>
      <c r="H150" s="67">
        <f>40326.4+2178.8</f>
        <v>42505.200000000004</v>
      </c>
      <c r="I150" s="65">
        <f t="shared" si="12"/>
        <v>698151.6</v>
      </c>
      <c r="J150" s="73">
        <f>235831.3+5935-371157</f>
        <v>-129390.70000000001</v>
      </c>
      <c r="K150" s="65">
        <f>746479.4-421651.4</f>
        <v>324828</v>
      </c>
      <c r="L150" s="69">
        <v>422379.9</v>
      </c>
      <c r="M150" s="69">
        <v>0</v>
      </c>
      <c r="N150" s="65">
        <v>20</v>
      </c>
      <c r="O150" s="70"/>
      <c r="P150" s="65">
        <v>24491.3</v>
      </c>
      <c r="Q150" s="69" t="s">
        <v>4</v>
      </c>
      <c r="R150" s="72">
        <f>199796.9+157.9+887.8-5935-59688.3-3847.6-132146.2+56597.6</f>
        <v>55823.09999999997</v>
      </c>
      <c r="S150" s="65">
        <f t="shared" si="13"/>
        <v>698151.6</v>
      </c>
      <c r="T150" s="65">
        <v>2205255.6999999997</v>
      </c>
      <c r="U150" s="65">
        <f t="shared" si="14"/>
        <v>3.1587060747264633</v>
      </c>
    </row>
    <row r="151" spans="1:21" s="62" customFormat="1" ht="18">
      <c r="A151" s="64" t="s">
        <v>75</v>
      </c>
      <c r="B151" s="65">
        <v>390526.4</v>
      </c>
      <c r="C151" s="65">
        <v>192629.6</v>
      </c>
      <c r="D151" s="65">
        <v>21152.7</v>
      </c>
      <c r="E151" s="65">
        <v>4730.5</v>
      </c>
      <c r="F151" s="65">
        <v>12861.9</v>
      </c>
      <c r="G151" s="65">
        <v>2.6</v>
      </c>
      <c r="H151" s="67">
        <f>3395.7+40023</f>
        <v>43418.7</v>
      </c>
      <c r="I151" s="65">
        <f t="shared" si="12"/>
        <v>665322.4</v>
      </c>
      <c r="J151" s="73">
        <f>188875.3+5935-368291.2</f>
        <v>-173480.90000000002</v>
      </c>
      <c r="K151" s="65">
        <f>746479.3-449268.9</f>
        <v>297210.4</v>
      </c>
      <c r="L151" s="69">
        <v>454094.2</v>
      </c>
      <c r="M151" s="69">
        <v>0</v>
      </c>
      <c r="N151" s="65">
        <v>20</v>
      </c>
      <c r="O151" s="70"/>
      <c r="P151" s="65">
        <v>25396.3</v>
      </c>
      <c r="Q151" s="69" t="s">
        <v>4</v>
      </c>
      <c r="R151" s="72">
        <f>195369.4+157.9+887.8-5935-57649.5-2547.2-127243.6+59042.6</f>
        <v>62082.39999999997</v>
      </c>
      <c r="S151" s="65">
        <f t="shared" si="13"/>
        <v>665322.4</v>
      </c>
      <c r="T151" s="65">
        <v>2196577.2666666666</v>
      </c>
      <c r="U151" s="65">
        <f t="shared" si="14"/>
        <v>3.301523091161017</v>
      </c>
    </row>
    <row r="152" spans="1:21" s="62" customFormat="1" ht="18">
      <c r="A152" s="64" t="s">
        <v>76</v>
      </c>
      <c r="B152" s="65">
        <v>389144.7</v>
      </c>
      <c r="C152" s="65">
        <v>241583.1</v>
      </c>
      <c r="D152" s="65">
        <v>21949.6</v>
      </c>
      <c r="E152" s="65">
        <v>5289.900000000001</v>
      </c>
      <c r="F152" s="65">
        <v>14116.3</v>
      </c>
      <c r="G152" s="65">
        <v>9.1</v>
      </c>
      <c r="H152" s="67">
        <f>4892.1+39639.3</f>
        <v>44531.4</v>
      </c>
      <c r="I152" s="65">
        <f t="shared" si="12"/>
        <v>716624.1</v>
      </c>
      <c r="J152" s="73">
        <f>225960.4+5935-363145.9</f>
        <v>-131250.50000000003</v>
      </c>
      <c r="K152" s="65">
        <f>743876.9-457283.3</f>
        <v>286593.60000000003</v>
      </c>
      <c r="L152" s="69">
        <v>466455.89999999997</v>
      </c>
      <c r="M152" s="69">
        <v>0</v>
      </c>
      <c r="N152" s="65">
        <v>20</v>
      </c>
      <c r="O152" s="70"/>
      <c r="P152" s="65">
        <v>25276.000000000004</v>
      </c>
      <c r="Q152" s="69" t="s">
        <v>4</v>
      </c>
      <c r="R152" s="72">
        <f>207489.5+157.9+887.8-5935-58145.6-2403.6-128297+55775.1</f>
        <v>69529.09999999998</v>
      </c>
      <c r="S152" s="65">
        <f t="shared" si="13"/>
        <v>716624.1</v>
      </c>
      <c r="T152" s="65">
        <v>2231209.4333333336</v>
      </c>
      <c r="U152" s="65">
        <f t="shared" si="14"/>
        <v>3.1135004158153956</v>
      </c>
    </row>
    <row r="153" spans="1:21" s="62" customFormat="1" ht="18">
      <c r="A153" s="87" t="s">
        <v>77</v>
      </c>
      <c r="B153" s="65">
        <v>386208.7</v>
      </c>
      <c r="C153" s="65">
        <v>177910.2</v>
      </c>
      <c r="D153" s="65">
        <v>21319.5</v>
      </c>
      <c r="E153" s="65">
        <v>5434.3</v>
      </c>
      <c r="F153" s="65">
        <v>13715.3</v>
      </c>
      <c r="G153" s="65">
        <v>31.4</v>
      </c>
      <c r="H153" s="67">
        <f>2283.6+37067.4</f>
        <v>39351</v>
      </c>
      <c r="I153" s="65">
        <f t="shared" si="12"/>
        <v>643970.4</v>
      </c>
      <c r="J153" s="73">
        <f>188354.3+5935-361308.8</f>
        <v>-167019.5</v>
      </c>
      <c r="K153" s="65">
        <f>738672-448559.6</f>
        <v>290112.4</v>
      </c>
      <c r="L153" s="69">
        <v>420106.2</v>
      </c>
      <c r="M153" s="69">
        <v>0</v>
      </c>
      <c r="N153" s="65">
        <v>20</v>
      </c>
      <c r="O153" s="70"/>
      <c r="P153" s="65">
        <v>25180.8</v>
      </c>
      <c r="Q153" s="69" t="s">
        <v>4</v>
      </c>
      <c r="R153" s="72">
        <f>215607.8+157.9+887.8-5935-58131.8-2423-128005.9+53412.7</f>
        <v>75570.49999999996</v>
      </c>
      <c r="S153" s="65">
        <f t="shared" si="13"/>
        <v>643970.4000000001</v>
      </c>
      <c r="T153" s="65">
        <v>2210871.3</v>
      </c>
      <c r="U153" s="65">
        <f t="shared" si="14"/>
        <v>3.4331877676365243</v>
      </c>
    </row>
    <row r="154" spans="1:21" s="62" customFormat="1" ht="18">
      <c r="A154" s="64" t="s">
        <v>78</v>
      </c>
      <c r="B154" s="65">
        <v>393636.4</v>
      </c>
      <c r="C154" s="65">
        <v>211293</v>
      </c>
      <c r="D154" s="65">
        <v>15286.699999999999</v>
      </c>
      <c r="E154" s="65">
        <v>3950</v>
      </c>
      <c r="F154" s="65">
        <v>8920.5</v>
      </c>
      <c r="G154" s="65">
        <v>8.4</v>
      </c>
      <c r="H154" s="67">
        <f>2199.6+36939.3</f>
        <v>39138.9</v>
      </c>
      <c r="I154" s="65">
        <f t="shared" si="12"/>
        <v>672233.9</v>
      </c>
      <c r="J154" s="73">
        <f>176635.8+5935-361783</f>
        <v>-179212.2</v>
      </c>
      <c r="K154" s="65">
        <f>736069.6-433857.9</f>
        <v>302211.69999999995</v>
      </c>
      <c r="L154" s="69">
        <v>432986.3</v>
      </c>
      <c r="M154" s="69">
        <v>0</v>
      </c>
      <c r="N154" s="65">
        <v>20</v>
      </c>
      <c r="O154" s="70"/>
      <c r="P154" s="65">
        <v>25898.7</v>
      </c>
      <c r="Q154" s="69" t="s">
        <v>4</v>
      </c>
      <c r="R154" s="72">
        <f>225055.7+157.9+887.8-5935-53990.1-2378.5-126835.3+53366.9</f>
        <v>90329.4</v>
      </c>
      <c r="S154" s="65">
        <f t="shared" si="13"/>
        <v>672233.8999999999</v>
      </c>
      <c r="T154" s="65">
        <v>2258931.066666667</v>
      </c>
      <c r="U154" s="65">
        <f t="shared" si="14"/>
        <v>3.3603349469086083</v>
      </c>
    </row>
    <row r="155" spans="1:21" s="62" customFormat="1" ht="18">
      <c r="A155" s="64" t="s">
        <v>79</v>
      </c>
      <c r="B155" s="65">
        <v>406383</v>
      </c>
      <c r="C155" s="65">
        <v>210075</v>
      </c>
      <c r="D155" s="65">
        <v>5623.6</v>
      </c>
      <c r="E155" s="65">
        <v>4591.1</v>
      </c>
      <c r="F155" s="65">
        <v>10872.8</v>
      </c>
      <c r="G155" s="65">
        <v>8.4</v>
      </c>
      <c r="H155" s="67">
        <f>2496+33849.3</f>
        <v>36345.3</v>
      </c>
      <c r="I155" s="65">
        <f t="shared" si="12"/>
        <v>673899.2</v>
      </c>
      <c r="J155" s="73">
        <f>167276.7+4763.1-357937.1</f>
        <v>-185897.29999999996</v>
      </c>
      <c r="K155" s="65">
        <f>737921.8-445475.5</f>
        <v>292446.30000000005</v>
      </c>
      <c r="L155" s="69">
        <v>435106.2</v>
      </c>
      <c r="M155" s="69">
        <v>0</v>
      </c>
      <c r="N155" s="65">
        <v>20</v>
      </c>
      <c r="O155" s="70"/>
      <c r="P155" s="65">
        <v>26145.3</v>
      </c>
      <c r="Q155" s="69" t="s">
        <v>4</v>
      </c>
      <c r="R155" s="72">
        <f>237158.4+157.9+887.8-4763.1-50618.3-2513.2-127514.8+53284</f>
        <v>106078.69999999994</v>
      </c>
      <c r="S155" s="65">
        <f t="shared" si="13"/>
        <v>673899.2000000001</v>
      </c>
      <c r="T155" s="65">
        <v>2269515.4333333336</v>
      </c>
      <c r="U155" s="65">
        <f t="shared" si="14"/>
        <v>3.367737242206748</v>
      </c>
    </row>
    <row r="156" spans="1:21" s="62" customFormat="1" ht="18">
      <c r="A156" s="64" t="s">
        <v>80</v>
      </c>
      <c r="B156" s="65">
        <v>434272.9</v>
      </c>
      <c r="C156" s="65">
        <v>203225.4</v>
      </c>
      <c r="D156" s="65">
        <v>10577.3</v>
      </c>
      <c r="E156" s="65">
        <v>3411.8</v>
      </c>
      <c r="F156" s="65">
        <v>9558.399999999998</v>
      </c>
      <c r="G156" s="65">
        <v>3.5</v>
      </c>
      <c r="H156" s="67">
        <f>3006.1+39875.7</f>
        <v>42881.799999999996</v>
      </c>
      <c r="I156" s="65">
        <f t="shared" si="12"/>
        <v>703931.1000000001</v>
      </c>
      <c r="J156" s="73">
        <f>167975.9+4763.1-357357.6</f>
        <v>-184618.59999999998</v>
      </c>
      <c r="K156" s="65">
        <f>736222.2-432881.7</f>
        <v>303340.49999999994</v>
      </c>
      <c r="L156" s="69">
        <v>421436.2</v>
      </c>
      <c r="M156" s="69">
        <v>0</v>
      </c>
      <c r="N156" s="65">
        <v>20</v>
      </c>
      <c r="O156" s="70"/>
      <c r="P156" s="65">
        <v>26117.6</v>
      </c>
      <c r="Q156" s="69" t="s">
        <v>4</v>
      </c>
      <c r="R156" s="72">
        <f>281819.7+157.9+887.8-4763.1-55808.9-2715.5-130627.9+48685.4</f>
        <v>137635.40000000005</v>
      </c>
      <c r="S156" s="65">
        <f t="shared" si="13"/>
        <v>703931.1</v>
      </c>
      <c r="T156" s="65">
        <v>2403816.1</v>
      </c>
      <c r="U156" s="65">
        <f t="shared" si="14"/>
        <v>3.414845714303573</v>
      </c>
    </row>
    <row r="157" spans="1:21" s="62" customFormat="1" ht="18">
      <c r="A157" s="87" t="s">
        <v>81</v>
      </c>
      <c r="B157" s="65">
        <v>448052.1</v>
      </c>
      <c r="C157" s="65">
        <v>153064.7</v>
      </c>
      <c r="D157" s="65">
        <v>17158.5</v>
      </c>
      <c r="E157" s="65">
        <v>3460.5999999999995</v>
      </c>
      <c r="F157" s="65">
        <v>9372.899999999998</v>
      </c>
      <c r="G157" s="65">
        <v>2</v>
      </c>
      <c r="H157" s="67">
        <f>3356.2+45288</f>
        <v>48644.2</v>
      </c>
      <c r="I157" s="65">
        <f t="shared" si="12"/>
        <v>679755</v>
      </c>
      <c r="J157" s="73">
        <f>196289.2+4763.1-365768.2</f>
        <v>-164715.9</v>
      </c>
      <c r="K157" s="65">
        <f>737624.5-468381.4</f>
        <v>269243.1</v>
      </c>
      <c r="L157" s="69">
        <v>410156.2</v>
      </c>
      <c r="M157" s="69">
        <v>0</v>
      </c>
      <c r="N157" s="65">
        <v>20</v>
      </c>
      <c r="O157" s="70"/>
      <c r="P157" s="65">
        <v>26638.600000000002</v>
      </c>
      <c r="Q157" s="69" t="s">
        <v>4</v>
      </c>
      <c r="R157" s="72">
        <f>278348.4+157.9+887.8-4763.1-56940-2494.3-128825.5+52041.8</f>
        <v>138413.00000000006</v>
      </c>
      <c r="S157" s="65">
        <f t="shared" si="13"/>
        <v>679755</v>
      </c>
      <c r="T157" s="65">
        <v>2443452.4333333336</v>
      </c>
      <c r="U157" s="65">
        <f t="shared" si="14"/>
        <v>3.594607517904736</v>
      </c>
    </row>
    <row r="158" spans="1:21" s="62" customFormat="1" ht="18">
      <c r="A158" s="64" t="s">
        <v>82</v>
      </c>
      <c r="B158" s="65">
        <v>463338.8</v>
      </c>
      <c r="C158" s="65">
        <v>161198.9</v>
      </c>
      <c r="D158" s="65">
        <v>17278.899999999998</v>
      </c>
      <c r="E158" s="65">
        <v>3217.3</v>
      </c>
      <c r="F158" s="65">
        <v>12359.3</v>
      </c>
      <c r="G158" s="65">
        <v>2.6</v>
      </c>
      <c r="H158" s="67">
        <f>4745.9+39969.8</f>
        <v>44715.700000000004</v>
      </c>
      <c r="I158" s="65">
        <f t="shared" si="12"/>
        <v>702111.5</v>
      </c>
      <c r="J158" s="73">
        <f>209302+4763.1-367134.1</f>
        <v>-153068.99999999997</v>
      </c>
      <c r="K158" s="65">
        <f>751455.5-537266.2</f>
        <v>214189.30000000005</v>
      </c>
      <c r="L158" s="69">
        <f>457570+4000</f>
        <v>461570</v>
      </c>
      <c r="M158" s="69">
        <v>0</v>
      </c>
      <c r="N158" s="65">
        <v>20</v>
      </c>
      <c r="O158" s="70"/>
      <c r="P158" s="65">
        <v>26765</v>
      </c>
      <c r="Q158" s="69" t="s">
        <v>4</v>
      </c>
      <c r="R158" s="72">
        <f>260719.6+157.9+887.8-4763.1-60606-2839.8-129170.4+88250.2</f>
        <v>152636.2</v>
      </c>
      <c r="S158" s="65">
        <f t="shared" si="13"/>
        <v>702111.5</v>
      </c>
      <c r="T158" s="65">
        <v>2503685.866666666</v>
      </c>
      <c r="U158" s="65">
        <f t="shared" si="14"/>
        <v>3.565937698879261</v>
      </c>
    </row>
    <row r="159" spans="1:21" s="62" customFormat="1" ht="18">
      <c r="A159" s="64" t="s">
        <v>83</v>
      </c>
      <c r="B159" s="65">
        <v>454635.1</v>
      </c>
      <c r="C159" s="65">
        <v>225925.4</v>
      </c>
      <c r="D159" s="65">
        <v>17859.6</v>
      </c>
      <c r="E159" s="65">
        <v>5187.4</v>
      </c>
      <c r="F159" s="65">
        <v>16733</v>
      </c>
      <c r="G159" s="65">
        <v>3</v>
      </c>
      <c r="H159" s="67">
        <f>3919.9+41267.2</f>
        <v>45187.1</v>
      </c>
      <c r="I159" s="65">
        <f t="shared" si="12"/>
        <v>765530.6</v>
      </c>
      <c r="J159" s="73">
        <f>196602.9+4763.1-367286.4</f>
        <v>-165920.40000000002</v>
      </c>
      <c r="K159" s="65">
        <f>901482.7-447533.4</f>
        <v>453949.29999999993</v>
      </c>
      <c r="L159" s="69">
        <f>360450+4000</f>
        <v>364450</v>
      </c>
      <c r="M159" s="69">
        <v>0</v>
      </c>
      <c r="N159" s="65">
        <v>20</v>
      </c>
      <c r="O159" s="70"/>
      <c r="P159" s="65">
        <v>27566.4</v>
      </c>
      <c r="Q159" s="69" t="s">
        <v>4</v>
      </c>
      <c r="R159" s="72">
        <f>200006.1+157.9+887.8-4763.1-65861.7-2821.3-129042.6+86902.2</f>
        <v>85465.29999999997</v>
      </c>
      <c r="S159" s="65">
        <f t="shared" si="13"/>
        <v>765530.5999999999</v>
      </c>
      <c r="T159" s="65">
        <v>2576390.3000000003</v>
      </c>
      <c r="U159" s="65">
        <f t="shared" si="14"/>
        <v>3.365496166972294</v>
      </c>
    </row>
    <row r="160" spans="1:21" s="62" customFormat="1" ht="18">
      <c r="A160" s="64" t="s">
        <v>84</v>
      </c>
      <c r="B160" s="65">
        <v>451043.8</v>
      </c>
      <c r="C160" s="65">
        <v>177742.6</v>
      </c>
      <c r="D160" s="65">
        <v>16074.699999999999</v>
      </c>
      <c r="E160" s="65">
        <v>4021.3</v>
      </c>
      <c r="F160" s="65">
        <v>9405.599999999999</v>
      </c>
      <c r="G160" s="65">
        <v>3.5</v>
      </c>
      <c r="H160" s="67">
        <f>4827.9+39226.7</f>
        <v>44054.6</v>
      </c>
      <c r="I160" s="65">
        <f t="shared" si="12"/>
        <v>702346.1</v>
      </c>
      <c r="J160" s="73">
        <f>186130.2+4763.1-365883.4</f>
        <v>-174990.1</v>
      </c>
      <c r="K160" s="65">
        <f>901974.9-486119.8</f>
        <v>415855.10000000003</v>
      </c>
      <c r="L160" s="69">
        <f>322527.1+4000</f>
        <v>326527.1</v>
      </c>
      <c r="M160" s="69">
        <v>0</v>
      </c>
      <c r="N160" s="65">
        <v>20</v>
      </c>
      <c r="O160" s="70"/>
      <c r="P160" s="65">
        <v>28345.300000000003</v>
      </c>
      <c r="Q160" s="69" t="s">
        <v>4</v>
      </c>
      <c r="R160" s="72">
        <f>215484.6+157.9+887.8-4763.1-61430.1-2972.9-127678.3+86902.8</f>
        <v>106588.69999999998</v>
      </c>
      <c r="S160" s="65">
        <f t="shared" si="13"/>
        <v>702346.1</v>
      </c>
      <c r="T160" s="65">
        <v>2569200.4999999995</v>
      </c>
      <c r="U160" s="65">
        <f t="shared" si="14"/>
        <v>3.658026292165643</v>
      </c>
    </row>
    <row r="161" spans="1:21" s="62" customFormat="1" ht="18">
      <c r="A161" s="64" t="s">
        <v>85</v>
      </c>
      <c r="B161" s="65">
        <v>458174</v>
      </c>
      <c r="C161" s="65">
        <v>188782.8</v>
      </c>
      <c r="D161" s="65">
        <v>8576.6</v>
      </c>
      <c r="E161" s="65">
        <v>2194.3</v>
      </c>
      <c r="F161" s="65">
        <v>10968.7</v>
      </c>
      <c r="G161" s="65">
        <v>4.2</v>
      </c>
      <c r="H161" s="67">
        <f>4342+43417.3</f>
        <v>47759.3</v>
      </c>
      <c r="I161" s="65">
        <f t="shared" si="12"/>
        <v>716459.8999999999</v>
      </c>
      <c r="J161" s="73">
        <f>197642.4+4763.1-368483.9</f>
        <v>-166078.40000000002</v>
      </c>
      <c r="K161" s="65">
        <f>899449.4-487480.1</f>
        <v>411969.30000000005</v>
      </c>
      <c r="L161" s="69">
        <f>318416+4000</f>
        <v>322416</v>
      </c>
      <c r="M161" s="69">
        <v>0</v>
      </c>
      <c r="N161" s="65">
        <v>20</v>
      </c>
      <c r="O161" s="70"/>
      <c r="P161" s="65">
        <v>28666</v>
      </c>
      <c r="Q161" s="69" t="s">
        <v>4</v>
      </c>
      <c r="R161" s="72">
        <f>225733.8+157.9+887.8-4763.1-58995.2-2658.9-128001.7+87106.4</f>
        <v>119466.99999999996</v>
      </c>
      <c r="S161" s="65">
        <f t="shared" si="13"/>
        <v>716459.9</v>
      </c>
      <c r="T161" s="65">
        <v>2622348.8999999994</v>
      </c>
      <c r="U161" s="65">
        <f t="shared" si="14"/>
        <v>3.6601474834809316</v>
      </c>
    </row>
    <row r="162" spans="1:21" s="62" customFormat="1" ht="18">
      <c r="A162" s="64" t="s">
        <v>86</v>
      </c>
      <c r="B162" s="65">
        <v>503703.5</v>
      </c>
      <c r="C162" s="65">
        <v>216248.8</v>
      </c>
      <c r="D162" s="65">
        <v>9345.300000000001</v>
      </c>
      <c r="E162" s="65">
        <v>4005.2</v>
      </c>
      <c r="F162" s="65">
        <v>5956.7</v>
      </c>
      <c r="G162" s="65">
        <v>4.7</v>
      </c>
      <c r="H162" s="67">
        <f>5393.2+34319.3</f>
        <v>39712.5</v>
      </c>
      <c r="I162" s="65">
        <f t="shared" si="12"/>
        <v>778976.7</v>
      </c>
      <c r="J162" s="73">
        <f>246109.6+4763.1-371450.7</f>
        <v>-120578</v>
      </c>
      <c r="K162" s="65">
        <f>894667.8-456634.2</f>
        <v>438033.60000000003</v>
      </c>
      <c r="L162" s="69">
        <f>298901.2+4000</f>
        <v>302901.2</v>
      </c>
      <c r="M162" s="69">
        <v>0</v>
      </c>
      <c r="N162" s="65">
        <v>20</v>
      </c>
      <c r="O162" s="70"/>
      <c r="P162" s="65">
        <v>28597.200000000004</v>
      </c>
      <c r="Q162" s="69" t="s">
        <v>4</v>
      </c>
      <c r="R162" s="72">
        <f>213092.6+157.9+887.8-4763.1-63218.3-2905.1-73122.1+59873</f>
        <v>130002.69999999995</v>
      </c>
      <c r="S162" s="65">
        <f t="shared" si="13"/>
        <v>778976.7</v>
      </c>
      <c r="T162" s="65">
        <v>2682850.3000000003</v>
      </c>
      <c r="U162" s="65">
        <f t="shared" si="14"/>
        <v>3.4440700216065516</v>
      </c>
    </row>
    <row r="163" spans="1:21" s="62" customFormat="1" ht="23.25" customHeight="1">
      <c r="A163" s="88" t="s">
        <v>5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90"/>
    </row>
    <row r="164" spans="1:21" s="62" customFormat="1" ht="15.7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</sheetData>
  <sheetProtection/>
  <mergeCells count="7">
    <mergeCell ref="A163:U163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8"/>
  <sheetViews>
    <sheetView zoomScalePageLayoutView="0" workbookViewId="0" topLeftCell="A1">
      <pane xSplit="1" ySplit="5" topLeftCell="T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4" sqref="A54:IV57"/>
    </sheetView>
  </sheetViews>
  <sheetFormatPr defaultColWidth="11.5546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11.5546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1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5" t="s">
        <v>43</v>
      </c>
      <c r="B4" s="94" t="s">
        <v>1</v>
      </c>
      <c r="C4" s="94"/>
      <c r="D4" s="94"/>
      <c r="E4" s="94"/>
      <c r="F4" s="94"/>
      <c r="G4" s="94"/>
      <c r="H4" s="94"/>
      <c r="I4" s="94"/>
      <c r="J4" s="94" t="s">
        <v>2</v>
      </c>
      <c r="K4" s="94"/>
      <c r="L4" s="94"/>
      <c r="M4" s="94"/>
      <c r="N4" s="94"/>
      <c r="O4" s="94"/>
      <c r="P4" s="94"/>
      <c r="Q4" s="94"/>
      <c r="R4" s="94"/>
      <c r="S4" s="94"/>
      <c r="T4" s="97" t="s">
        <v>19</v>
      </c>
      <c r="U4" s="94" t="s">
        <v>20</v>
      </c>
    </row>
    <row r="5" spans="1:21" ht="75">
      <c r="A5" s="96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7"/>
      <c r="U5" s="94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57">SUM(J27:R27)</f>
        <v>280590.0000000001</v>
      </c>
      <c r="T27" s="65">
        <v>927922.8499999996</v>
      </c>
      <c r="U27" s="65">
        <f aca="true" t="shared" si="5" ref="U27:U52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7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5.75">
      <c r="A50" s="64">
        <v>43555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1885235.1999999997</v>
      </c>
      <c r="U50" s="65">
        <f t="shared" si="5"/>
        <v>3.105938670553905</v>
      </c>
    </row>
    <row r="51" spans="1:21" s="62" customFormat="1" ht="15.75">
      <c r="A51" s="64">
        <v>43646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2029488.7000000002</v>
      </c>
      <c r="U51" s="65">
        <f t="shared" si="5"/>
        <v>3.084514495930987</v>
      </c>
    </row>
    <row r="52" spans="1:21" s="62" customFormat="1" ht="18">
      <c r="A52" s="64" t="s">
        <v>63</v>
      </c>
      <c r="B52" s="65">
        <v>373777.4</v>
      </c>
      <c r="C52" s="65">
        <v>200245.8</v>
      </c>
      <c r="D52" s="65">
        <v>13233.099999999999</v>
      </c>
      <c r="E52" s="65">
        <v>3326.6</v>
      </c>
      <c r="F52" s="65">
        <v>12715.200000000003</v>
      </c>
      <c r="G52" s="65">
        <v>1.4</v>
      </c>
      <c r="H52" s="67">
        <f>2563.7+38573.2</f>
        <v>41136.899999999994</v>
      </c>
      <c r="I52" s="65">
        <f t="shared" si="6"/>
        <v>644436.4</v>
      </c>
      <c r="J52" s="73">
        <f>145197.8+7031.5-295964.1</f>
        <v>-143734.8</v>
      </c>
      <c r="K52" s="65">
        <f>756889.1-465555.2</f>
        <v>291333.89999999997</v>
      </c>
      <c r="L52" s="69">
        <v>399460.9</v>
      </c>
      <c r="M52" s="69">
        <v>0</v>
      </c>
      <c r="N52" s="65">
        <v>20</v>
      </c>
      <c r="O52" s="70"/>
      <c r="P52" s="65">
        <v>24409.9</v>
      </c>
      <c r="Q52" s="69" t="s">
        <v>4</v>
      </c>
      <c r="R52" s="72">
        <f>157.9+887.8+210464.2-7031.5-29487.1-1894.5-146196.7+46046.4</f>
        <v>72946.5</v>
      </c>
      <c r="S52" s="65">
        <f t="shared" si="4"/>
        <v>644436.4</v>
      </c>
      <c r="T52" s="65">
        <v>2076038.7000000002</v>
      </c>
      <c r="U52" s="65">
        <f t="shared" si="5"/>
        <v>3.221479575020902</v>
      </c>
    </row>
    <row r="53" spans="1:21" s="62" customFormat="1" ht="18">
      <c r="A53" s="64" t="s">
        <v>66</v>
      </c>
      <c r="B53" s="65">
        <v>414814.9</v>
      </c>
      <c r="C53" s="65">
        <v>208123.19999999998</v>
      </c>
      <c r="D53" s="65">
        <v>22962.1</v>
      </c>
      <c r="E53" s="65">
        <v>4340</v>
      </c>
      <c r="F53" s="65">
        <v>5405</v>
      </c>
      <c r="G53" s="65">
        <v>1.2</v>
      </c>
      <c r="H53" s="67">
        <f>40326.4+2178.8</f>
        <v>42505.200000000004</v>
      </c>
      <c r="I53" s="65">
        <f t="shared" si="6"/>
        <v>698151.6</v>
      </c>
      <c r="J53" s="73">
        <f>235831.3+5935-371157</f>
        <v>-129390.70000000001</v>
      </c>
      <c r="K53" s="65">
        <f>746479.4-421651.4</f>
        <v>324828</v>
      </c>
      <c r="L53" s="69">
        <v>422379.9</v>
      </c>
      <c r="M53" s="69">
        <v>0</v>
      </c>
      <c r="N53" s="65">
        <v>20</v>
      </c>
      <c r="O53" s="70"/>
      <c r="P53" s="65">
        <v>24491.3</v>
      </c>
      <c r="Q53" s="69" t="s">
        <v>4</v>
      </c>
      <c r="R53" s="72">
        <f>199796.9+157.9+887.8-5935-59688.3-3847.6-132146.2+56597.6</f>
        <v>55823.09999999997</v>
      </c>
      <c r="S53" s="65">
        <f t="shared" si="4"/>
        <v>698151.6</v>
      </c>
      <c r="T53" s="65">
        <v>2205255.6999999997</v>
      </c>
      <c r="U53" s="65">
        <f>T53/I53</f>
        <v>3.1587060747264633</v>
      </c>
    </row>
    <row r="54" spans="1:21" s="62" customFormat="1" ht="18">
      <c r="A54" s="64" t="s">
        <v>67</v>
      </c>
      <c r="B54" s="65">
        <v>386208.7</v>
      </c>
      <c r="C54" s="65">
        <v>177910.2</v>
      </c>
      <c r="D54" s="65">
        <v>21319.5</v>
      </c>
      <c r="E54" s="65">
        <v>5434.3</v>
      </c>
      <c r="F54" s="65">
        <v>13715.3</v>
      </c>
      <c r="G54" s="65">
        <v>31.4</v>
      </c>
      <c r="H54" s="67">
        <f>2283.6+37067.4</f>
        <v>39351</v>
      </c>
      <c r="I54" s="65">
        <f t="shared" si="6"/>
        <v>643970.4</v>
      </c>
      <c r="J54" s="73">
        <f>188354.3+5935-361308.8</f>
        <v>-167019.5</v>
      </c>
      <c r="K54" s="65">
        <f>738672-448559.6</f>
        <v>290112.4</v>
      </c>
      <c r="L54" s="69">
        <v>420106.2</v>
      </c>
      <c r="M54" s="69">
        <v>0</v>
      </c>
      <c r="N54" s="65">
        <v>20</v>
      </c>
      <c r="O54" s="70"/>
      <c r="P54" s="65">
        <v>25180.8</v>
      </c>
      <c r="Q54" s="69" t="s">
        <v>4</v>
      </c>
      <c r="R54" s="72">
        <f>215607.8+157.9+887.8-5935-58131.8-2423-128005.9+53412.7</f>
        <v>75570.49999999996</v>
      </c>
      <c r="S54" s="65">
        <f t="shared" si="4"/>
        <v>643970.4000000001</v>
      </c>
      <c r="T54" s="65">
        <v>2210871.3</v>
      </c>
      <c r="U54" s="65">
        <f>T54/I54</f>
        <v>3.4331877676365243</v>
      </c>
    </row>
    <row r="55" spans="1:21" s="62" customFormat="1" ht="18">
      <c r="A55" s="64" t="s">
        <v>69</v>
      </c>
      <c r="B55" s="65">
        <v>434272.9</v>
      </c>
      <c r="C55" s="65">
        <v>203225.4</v>
      </c>
      <c r="D55" s="65">
        <v>10577.3</v>
      </c>
      <c r="E55" s="65">
        <v>3411.8</v>
      </c>
      <c r="F55" s="65">
        <v>9558.399999999998</v>
      </c>
      <c r="G55" s="65">
        <v>3.5</v>
      </c>
      <c r="H55" s="67">
        <f>3006.1+39875.7</f>
        <v>42881.799999999996</v>
      </c>
      <c r="I55" s="65">
        <f t="shared" si="6"/>
        <v>703931.1000000001</v>
      </c>
      <c r="J55" s="73">
        <f>167975.9+4763.1-357357.6</f>
        <v>-184618.59999999998</v>
      </c>
      <c r="K55" s="65">
        <f>736222.2-432881.7</f>
        <v>303340.49999999994</v>
      </c>
      <c r="L55" s="69">
        <v>421436.2</v>
      </c>
      <c r="M55" s="69">
        <v>0</v>
      </c>
      <c r="N55" s="65">
        <v>20</v>
      </c>
      <c r="O55" s="70"/>
      <c r="P55" s="65">
        <v>26117.6</v>
      </c>
      <c r="Q55" s="69" t="s">
        <v>4</v>
      </c>
      <c r="R55" s="72">
        <f>281819.7+157.9+887.8-4763.1-55808.9-2715.5-130627.9+48685.4</f>
        <v>137635.40000000005</v>
      </c>
      <c r="S55" s="65">
        <f t="shared" si="4"/>
        <v>703931.1</v>
      </c>
      <c r="T55" s="65">
        <v>2403816.1</v>
      </c>
      <c r="U55" s="65">
        <f>T55/I55</f>
        <v>3.414845714303573</v>
      </c>
    </row>
    <row r="56" spans="1:21" s="62" customFormat="1" ht="18">
      <c r="A56" s="64" t="s">
        <v>70</v>
      </c>
      <c r="B56" s="65">
        <v>454635.1</v>
      </c>
      <c r="C56" s="65">
        <v>225925.4</v>
      </c>
      <c r="D56" s="65">
        <v>17859.6</v>
      </c>
      <c r="E56" s="65">
        <v>5187.4</v>
      </c>
      <c r="F56" s="65">
        <v>16733</v>
      </c>
      <c r="G56" s="65">
        <v>3</v>
      </c>
      <c r="H56" s="67">
        <f>3919.9+41267.2</f>
        <v>45187.1</v>
      </c>
      <c r="I56" s="65">
        <f t="shared" si="6"/>
        <v>765530.6</v>
      </c>
      <c r="J56" s="73">
        <f>196602.9+4763.1-367286.4</f>
        <v>-165920.40000000002</v>
      </c>
      <c r="K56" s="65">
        <f>901482.7-447533.4</f>
        <v>453949.29999999993</v>
      </c>
      <c r="L56" s="69">
        <f>360450+4000</f>
        <v>364450</v>
      </c>
      <c r="M56" s="69">
        <v>0</v>
      </c>
      <c r="N56" s="65">
        <v>20</v>
      </c>
      <c r="O56" s="70"/>
      <c r="P56" s="65">
        <v>27566.4</v>
      </c>
      <c r="Q56" s="69" t="s">
        <v>4</v>
      </c>
      <c r="R56" s="72">
        <f>200006.1+157.9+887.8-4763.1-65861.7-2821.3-129042.6+86902.2</f>
        <v>85465.29999999997</v>
      </c>
      <c r="S56" s="65">
        <f t="shared" si="4"/>
        <v>765530.5999999999</v>
      </c>
      <c r="T56" s="65">
        <v>2576390.3000000003</v>
      </c>
      <c r="U56" s="65">
        <f>T56/I56</f>
        <v>3.365496166972294</v>
      </c>
    </row>
    <row r="57" spans="1:21" s="62" customFormat="1" ht="18">
      <c r="A57" s="64" t="s">
        <v>73</v>
      </c>
      <c r="B57" s="65">
        <v>503703.5</v>
      </c>
      <c r="C57" s="65">
        <v>216248.8</v>
      </c>
      <c r="D57" s="65">
        <v>9345.300000000001</v>
      </c>
      <c r="E57" s="65">
        <v>4005.2</v>
      </c>
      <c r="F57" s="65">
        <v>5956.7</v>
      </c>
      <c r="G57" s="65">
        <v>4.7</v>
      </c>
      <c r="H57" s="67">
        <f>5393.2+34319.3</f>
        <v>39712.5</v>
      </c>
      <c r="I57" s="65">
        <f t="shared" si="6"/>
        <v>778976.7</v>
      </c>
      <c r="J57" s="73">
        <f>246109.6+4763.1-371450.7</f>
        <v>-120578</v>
      </c>
      <c r="K57" s="65">
        <f>894667.8-456634.2</f>
        <v>438033.60000000003</v>
      </c>
      <c r="L57" s="69">
        <f>298901.2+4000</f>
        <v>302901.2</v>
      </c>
      <c r="M57" s="69">
        <v>0</v>
      </c>
      <c r="N57" s="65">
        <v>20</v>
      </c>
      <c r="O57" s="70"/>
      <c r="P57" s="65">
        <v>28597.200000000004</v>
      </c>
      <c r="Q57" s="69" t="s">
        <v>4</v>
      </c>
      <c r="R57" s="72">
        <f>213092.6+157.9+887.8-4763.1-63218.3-2905.1-73122.1+59873</f>
        <v>130002.69999999995</v>
      </c>
      <c r="S57" s="65">
        <f t="shared" si="4"/>
        <v>778976.7</v>
      </c>
      <c r="T57" s="65">
        <v>2682850.3000000003</v>
      </c>
      <c r="U57" s="65">
        <f>T57/I57</f>
        <v>3.4440700216065516</v>
      </c>
    </row>
    <row r="58" spans="1:21" s="62" customFormat="1" ht="23.25" customHeight="1">
      <c r="A58" s="88" t="s">
        <v>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</row>
  </sheetData>
  <sheetProtection/>
  <mergeCells count="7">
    <mergeCell ref="A58:U58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5"/>
  <sheetViews>
    <sheetView zoomScalePageLayoutView="0" workbookViewId="0" topLeftCell="A1">
      <pane xSplit="1" ySplit="5" topLeftCell="S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0" sqref="X20"/>
    </sheetView>
  </sheetViews>
  <sheetFormatPr defaultColWidth="11.5546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1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5" t="s">
        <v>43</v>
      </c>
      <c r="B4" s="97" t="s">
        <v>1</v>
      </c>
      <c r="C4" s="97"/>
      <c r="D4" s="97"/>
      <c r="E4" s="97"/>
      <c r="F4" s="97"/>
      <c r="G4" s="97"/>
      <c r="H4" s="97"/>
      <c r="I4" s="97"/>
      <c r="J4" s="97" t="s">
        <v>2</v>
      </c>
      <c r="K4" s="97"/>
      <c r="L4" s="97"/>
      <c r="M4" s="97"/>
      <c r="N4" s="97"/>
      <c r="O4" s="97"/>
      <c r="P4" s="97"/>
      <c r="Q4" s="97"/>
      <c r="R4" s="97"/>
      <c r="S4" s="97"/>
      <c r="T4" s="97" t="s">
        <v>19</v>
      </c>
      <c r="U4" s="94" t="s">
        <v>20</v>
      </c>
    </row>
    <row r="5" spans="1:21" s="40" customFormat="1" ht="75">
      <c r="A5" s="96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7"/>
      <c r="U5" s="94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8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8">
      <c r="A17" s="83" t="s">
        <v>61</v>
      </c>
      <c r="B17" s="65">
        <v>414814.9</v>
      </c>
      <c r="C17" s="65">
        <v>208123.19999999998</v>
      </c>
      <c r="D17" s="65">
        <v>22962.1</v>
      </c>
      <c r="E17" s="65">
        <v>4340</v>
      </c>
      <c r="F17" s="65">
        <v>5405</v>
      </c>
      <c r="G17" s="65">
        <v>1.2</v>
      </c>
      <c r="H17" s="67">
        <f>40326.4+2178.8</f>
        <v>42505.200000000004</v>
      </c>
      <c r="I17" s="65">
        <f>H17+F17+E17+C17+B17+G17+D17</f>
        <v>698151.6</v>
      </c>
      <c r="J17" s="73">
        <f>235831.3+5935-371157</f>
        <v>-129390.70000000001</v>
      </c>
      <c r="K17" s="65">
        <f>746479.4-421651.4</f>
        <v>324828</v>
      </c>
      <c r="L17" s="69">
        <v>422379.9</v>
      </c>
      <c r="M17" s="69">
        <v>0</v>
      </c>
      <c r="N17" s="65">
        <v>20</v>
      </c>
      <c r="O17" s="70"/>
      <c r="P17" s="65">
        <v>24491.3</v>
      </c>
      <c r="Q17" s="69" t="s">
        <v>4</v>
      </c>
      <c r="R17" s="72">
        <f>199796.9+157.9+887.8-5935-59688.3-3847.6-132146.2+56597.6</f>
        <v>55823.09999999997</v>
      </c>
      <c r="S17" s="65">
        <f t="shared" si="1"/>
        <v>698151.6</v>
      </c>
      <c r="T17" s="65">
        <v>2205255.6999999997</v>
      </c>
      <c r="U17" s="65">
        <f>T17/I17</f>
        <v>3.1587060747264633</v>
      </c>
    </row>
    <row r="18" spans="1:21" s="62" customFormat="1" ht="18">
      <c r="A18" s="83" t="s">
        <v>74</v>
      </c>
      <c r="B18" s="65">
        <v>503703.5</v>
      </c>
      <c r="C18" s="65">
        <v>216248.8</v>
      </c>
      <c r="D18" s="65">
        <v>9345.300000000001</v>
      </c>
      <c r="E18" s="65">
        <v>4005.2</v>
      </c>
      <c r="F18" s="65">
        <v>5956.7</v>
      </c>
      <c r="G18" s="65">
        <v>4.7</v>
      </c>
      <c r="H18" s="67">
        <f>5393.2+34319.3</f>
        <v>39712.5</v>
      </c>
      <c r="I18" s="65">
        <f>H18+F18+E18+C18+B18+G18+D18</f>
        <v>778976.7</v>
      </c>
      <c r="J18" s="73">
        <f>246109.6+4763.1-371450.7</f>
        <v>-120578</v>
      </c>
      <c r="K18" s="65">
        <f>894667.8-456634.2</f>
        <v>438033.60000000003</v>
      </c>
      <c r="L18" s="69">
        <f>298901.2+4000</f>
        <v>302901.2</v>
      </c>
      <c r="M18" s="69">
        <v>0</v>
      </c>
      <c r="N18" s="65">
        <v>20</v>
      </c>
      <c r="O18" s="70"/>
      <c r="P18" s="65">
        <v>28597.200000000004</v>
      </c>
      <c r="Q18" s="69" t="s">
        <v>4</v>
      </c>
      <c r="R18" s="72">
        <f>213092.6+157.9+887.8-4763.1-63218.3-2905.1-73122.1+59873</f>
        <v>130002.69999999995</v>
      </c>
      <c r="S18" s="65">
        <f t="shared" si="1"/>
        <v>778976.7</v>
      </c>
      <c r="T18" s="65">
        <v>2682850.3000000003</v>
      </c>
      <c r="U18" s="65">
        <f>T18/I18</f>
        <v>3.4440700216065516</v>
      </c>
    </row>
    <row r="19" spans="1:21" s="62" customFormat="1" ht="15.75">
      <c r="A19" s="88" t="s">
        <v>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="40" customFormat="1" ht="18.75"/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pans="1:21" ht="18.75">
      <c r="A56" s="31"/>
      <c r="B56" s="32"/>
      <c r="C56" s="32"/>
      <c r="D56" s="32"/>
      <c r="E56" s="32"/>
      <c r="F56" s="32"/>
      <c r="G56" s="32"/>
      <c r="H56" s="33"/>
      <c r="I56" s="32"/>
      <c r="J56" s="34"/>
      <c r="K56" s="32"/>
      <c r="L56" s="32"/>
      <c r="M56" s="32"/>
      <c r="N56" s="32"/>
      <c r="O56" s="36"/>
      <c r="P56" s="32"/>
      <c r="Q56" s="35"/>
      <c r="R56" s="38"/>
      <c r="S56" s="32"/>
      <c r="T56" s="32"/>
      <c r="U56" s="32"/>
    </row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1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2"/>
      <c r="M60" s="32"/>
      <c r="N60" s="32"/>
      <c r="O60" s="36"/>
      <c r="P60" s="32"/>
      <c r="Q60" s="35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2"/>
      <c r="M61" s="32"/>
      <c r="N61" s="32"/>
      <c r="O61" s="36"/>
      <c r="P61" s="32"/>
      <c r="Q61" s="35"/>
      <c r="R61" s="38"/>
      <c r="S61" s="32"/>
      <c r="T61" s="32"/>
      <c r="U61" s="32"/>
    </row>
    <row r="62" spans="1:21" ht="18.75">
      <c r="A62" s="39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5"/>
      <c r="M62" s="35"/>
      <c r="N62" s="32"/>
      <c r="O62" s="36"/>
      <c r="P62" s="32"/>
      <c r="Q62" s="37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1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7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7"/>
      <c r="R74" s="38"/>
      <c r="S74" s="32"/>
      <c r="T74" s="32"/>
      <c r="U74" s="32"/>
    </row>
    <row r="75" spans="1:21" ht="18.75">
      <c r="A75" s="39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5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1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9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8.75">
      <c r="A89" s="31"/>
      <c r="B89" s="32"/>
      <c r="C89" s="32"/>
      <c r="D89" s="32"/>
      <c r="E89" s="32"/>
      <c r="F89" s="32"/>
      <c r="G89" s="32"/>
      <c r="H89" s="33"/>
      <c r="I89" s="32"/>
      <c r="J89" s="34"/>
      <c r="K89" s="32"/>
      <c r="L89" s="35"/>
      <c r="M89" s="35"/>
      <c r="N89" s="32"/>
      <c r="O89" s="36"/>
      <c r="P89" s="32"/>
      <c r="Q89" s="35"/>
      <c r="R89" s="38"/>
      <c r="S89" s="32"/>
      <c r="T89" s="32"/>
      <c r="U89" s="32"/>
    </row>
    <row r="90" spans="1:21" ht="18.75">
      <c r="A90" s="31"/>
      <c r="B90" s="32"/>
      <c r="C90" s="32"/>
      <c r="D90" s="32"/>
      <c r="E90" s="32"/>
      <c r="F90" s="32"/>
      <c r="G90" s="32"/>
      <c r="H90" s="33"/>
      <c r="I90" s="32"/>
      <c r="J90" s="34"/>
      <c r="K90" s="32"/>
      <c r="L90" s="35"/>
      <c r="M90" s="35"/>
      <c r="N90" s="32"/>
      <c r="O90" s="36"/>
      <c r="P90" s="32"/>
      <c r="Q90" s="35"/>
      <c r="R90" s="38"/>
      <c r="S90" s="32"/>
      <c r="T90" s="32"/>
      <c r="U90" s="32"/>
    </row>
    <row r="91" spans="1:21" ht="15.75">
      <c r="A91" s="17"/>
      <c r="B91" s="12"/>
      <c r="C91" s="12"/>
      <c r="D91" s="12"/>
      <c r="E91" s="12"/>
      <c r="F91" s="12"/>
      <c r="G91" s="12"/>
      <c r="H91" s="13"/>
      <c r="I91" s="12"/>
      <c r="J91" s="18"/>
      <c r="K91" s="12"/>
      <c r="L91" s="14"/>
      <c r="M91" s="14"/>
      <c r="N91" s="12"/>
      <c r="O91" s="15"/>
      <c r="P91" s="12"/>
      <c r="Q91" s="14"/>
      <c r="R91" s="16"/>
      <c r="S91" s="12"/>
      <c r="T91" s="12"/>
      <c r="U91" s="1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7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9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7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  <row r="114" spans="1:21" ht="15.75">
      <c r="A114" s="19"/>
      <c r="B114" s="12"/>
      <c r="C114" s="12"/>
      <c r="D114" s="12"/>
      <c r="E114" s="12"/>
      <c r="F114" s="12"/>
      <c r="G114" s="12"/>
      <c r="H114" s="13"/>
      <c r="I114" s="12"/>
      <c r="J114" s="18"/>
      <c r="K114" s="12"/>
      <c r="L114" s="14"/>
      <c r="M114" s="14"/>
      <c r="N114" s="12"/>
      <c r="O114" s="15"/>
      <c r="P114" s="12"/>
      <c r="Q114" s="14"/>
      <c r="R114" s="16"/>
      <c r="S114" s="12"/>
      <c r="T114" s="12"/>
      <c r="U114" s="12"/>
    </row>
    <row r="115" spans="1:21" ht="15.75">
      <c r="A115" s="17"/>
      <c r="B115" s="12"/>
      <c r="C115" s="12"/>
      <c r="D115" s="12"/>
      <c r="E115" s="12"/>
      <c r="F115" s="12"/>
      <c r="G115" s="12"/>
      <c r="H115" s="13"/>
      <c r="I115" s="12"/>
      <c r="J115" s="18"/>
      <c r="K115" s="12"/>
      <c r="L115" s="14"/>
      <c r="M115" s="14"/>
      <c r="N115" s="12"/>
      <c r="O115" s="15"/>
      <c r="P115" s="12"/>
      <c r="Q115" s="14"/>
      <c r="R115" s="16"/>
      <c r="S115" s="12"/>
      <c r="T115" s="12"/>
      <c r="U115" s="12"/>
    </row>
  </sheetData>
  <sheetProtection/>
  <mergeCells count="7">
    <mergeCell ref="A19:U19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BARAKAMFITIYE Canisius</cp:lastModifiedBy>
  <cp:lastPrinted>2016-08-22T15:17:49Z</cp:lastPrinted>
  <dcterms:created xsi:type="dcterms:W3CDTF">2000-09-13T06:05:15Z</dcterms:created>
  <dcterms:modified xsi:type="dcterms:W3CDTF">2021-04-22T07:30:07Z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