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602" activeTab="0"/>
  </bookViews>
  <sheets>
    <sheet name="ii2-2sitbrbpassif" sheetId="1" r:id="rId1"/>
  </sheets>
  <definedNames>
    <definedName name="_xlnm.Print_Area" localSheetId="0">'ii2-2sitbrbpassif'!$A$1:$U$229</definedName>
  </definedNames>
  <calcPr fullCalcOnLoad="1"/>
</workbook>
</file>

<file path=xl/sharedStrings.xml><?xml version="1.0" encoding="utf-8"?>
<sst xmlns="http://schemas.openxmlformats.org/spreadsheetml/2006/main" count="635" uniqueCount="224">
  <si>
    <t xml:space="preserve"> </t>
  </si>
  <si>
    <t xml:space="preserve">    Dépôts </t>
  </si>
  <si>
    <t xml:space="preserve"> Dépôts  </t>
  </si>
  <si>
    <t>Dépôts</t>
  </si>
  <si>
    <t xml:space="preserve">  Autres </t>
  </si>
  <si>
    <t>des</t>
  </si>
  <si>
    <t xml:space="preserve"> des sociétés</t>
  </si>
  <si>
    <t xml:space="preserve">   secteur</t>
  </si>
  <si>
    <t>établissements</t>
  </si>
  <si>
    <t>à participation</t>
  </si>
  <si>
    <t xml:space="preserve"> bancaire</t>
  </si>
  <si>
    <t xml:space="preserve"> financiers</t>
  </si>
  <si>
    <t xml:space="preserve"> publique</t>
  </si>
  <si>
    <t xml:space="preserve">            Rubriques</t>
  </si>
  <si>
    <t>Période</t>
  </si>
  <si>
    <t xml:space="preserve">  Billets et</t>
  </si>
  <si>
    <t xml:space="preserve">  Pièces en</t>
  </si>
  <si>
    <t xml:space="preserve">  circulation</t>
  </si>
  <si>
    <t xml:space="preserve">Avoirs </t>
  </si>
  <si>
    <t>extérieurs</t>
  </si>
  <si>
    <t>nets</t>
  </si>
  <si>
    <t xml:space="preserve">Créances </t>
  </si>
  <si>
    <t xml:space="preserve">nettes sur </t>
  </si>
  <si>
    <t>l'Etat</t>
  </si>
  <si>
    <t>(hors BRB)</t>
  </si>
  <si>
    <t>Créances sur</t>
  </si>
  <si>
    <t xml:space="preserve">les banques </t>
  </si>
  <si>
    <t>commerciales</t>
  </si>
  <si>
    <t>les établissements</t>
  </si>
  <si>
    <t>le secteur privé</t>
  </si>
  <si>
    <t xml:space="preserve">les sociétés </t>
  </si>
  <si>
    <t>publique</t>
  </si>
  <si>
    <t>Autres postes nets</t>
  </si>
  <si>
    <t xml:space="preserve">Reprise </t>
  </si>
  <si>
    <t>de liquidité</t>
  </si>
  <si>
    <t>TOTAL</t>
  </si>
  <si>
    <t>BASE MONETAIRE</t>
  </si>
  <si>
    <t>MASSE</t>
  </si>
  <si>
    <t>CONTREPARTIES DE LA BASE MONETAIRE</t>
  </si>
  <si>
    <t>MULTIPLICATEUR</t>
  </si>
  <si>
    <t>EVOLUTION DE  LA BASE MONETAIRE, DE LA MASSE MONETAIRE ET  DU MULTIPLICATEUR</t>
  </si>
  <si>
    <t xml:space="preserve">          avril </t>
  </si>
  <si>
    <t xml:space="preserve">          mai </t>
  </si>
  <si>
    <t>-</t>
  </si>
  <si>
    <t>2008 janvier</t>
  </si>
  <si>
    <t>2008 mars</t>
  </si>
  <si>
    <t xml:space="preserve">  Dépôts</t>
  </si>
  <si>
    <t>2008</t>
  </si>
  <si>
    <t xml:space="preserve">2009 janvier </t>
  </si>
  <si>
    <t>2009 mars</t>
  </si>
  <si>
    <t xml:space="preserve">          septembre </t>
  </si>
  <si>
    <t>2008 février</t>
  </si>
  <si>
    <t xml:space="preserve">2010 janvier </t>
  </si>
  <si>
    <t>2009</t>
  </si>
  <si>
    <t>2008 avril</t>
  </si>
  <si>
    <t>2008 mai</t>
  </si>
  <si>
    <t>2010 mars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</si>
  <si>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</si>
  <si>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</si>
  <si>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</si>
  <si>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</si>
  <si>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</si>
  <si>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</si>
  <si>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</si>
  <si>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 xml:space="preserve">2009 février </t>
  </si>
  <si>
    <t>2009 avril</t>
  </si>
  <si>
    <t xml:space="preserve">2011 janvier </t>
  </si>
  <si>
    <t>2009 mai</t>
  </si>
  <si>
    <t>2011 mars</t>
  </si>
  <si>
    <t>2009 juin</t>
  </si>
  <si>
    <t>2009 juillet</t>
  </si>
  <si>
    <t>2009 août</t>
  </si>
  <si>
    <t xml:space="preserve">          juin </t>
  </si>
  <si>
    <t>2009 septembre</t>
  </si>
  <si>
    <t>2009 octobre</t>
  </si>
  <si>
    <t>2009 novembre</t>
  </si>
  <si>
    <t xml:space="preserve">          juillet </t>
  </si>
  <si>
    <t xml:space="preserve">          août </t>
  </si>
  <si>
    <t>2009 décembre</t>
  </si>
  <si>
    <t xml:space="preserve">2010 février </t>
  </si>
  <si>
    <t>2010 avril</t>
  </si>
  <si>
    <t>2010 mai</t>
  </si>
  <si>
    <t>2010 juin</t>
  </si>
  <si>
    <t>2010 juillet</t>
  </si>
  <si>
    <t>2012 mars</t>
  </si>
  <si>
    <t>2010 août</t>
  </si>
  <si>
    <t>2010 septembre</t>
  </si>
  <si>
    <t>2010 octobre</t>
  </si>
  <si>
    <t>2010 novembre</t>
  </si>
  <si>
    <t>2010 décembre</t>
  </si>
  <si>
    <t>2011 février</t>
  </si>
  <si>
    <t xml:space="preserve">Dépôts </t>
  </si>
  <si>
    <t>microfinances</t>
  </si>
  <si>
    <t>les administrations</t>
  </si>
  <si>
    <t>locales</t>
  </si>
  <si>
    <t xml:space="preserve">Administrations </t>
  </si>
  <si>
    <t>MONETAIRE (M3)</t>
  </si>
  <si>
    <t>2012</t>
  </si>
  <si>
    <t>2013 janvier</t>
  </si>
  <si>
    <t xml:space="preserve">      du</t>
  </si>
  <si>
    <r>
      <t xml:space="preserve">          décembre</t>
    </r>
    <r>
      <rPr>
        <vertAlign val="superscript"/>
        <sz val="12"/>
        <rFont val="Helv"/>
        <family val="0"/>
      </rPr>
      <t xml:space="preserve"> </t>
    </r>
  </si>
  <si>
    <r>
      <t xml:space="preserve">          octobre</t>
    </r>
    <r>
      <rPr>
        <vertAlign val="superscript"/>
        <sz val="12"/>
        <rFont val="Helv"/>
        <family val="0"/>
      </rPr>
      <t xml:space="preserve"> </t>
    </r>
  </si>
  <si>
    <r>
      <t xml:space="preserve">          novembre </t>
    </r>
    <r>
      <rPr>
        <vertAlign val="superscript"/>
        <sz val="12"/>
        <rFont val="Helv"/>
        <family val="0"/>
      </rPr>
      <t xml:space="preserve"> </t>
    </r>
  </si>
  <si>
    <r>
      <t>2012 janvier</t>
    </r>
    <r>
      <rPr>
        <vertAlign val="superscript"/>
        <sz val="12"/>
        <rFont val="Helv"/>
        <family val="0"/>
      </rPr>
      <t xml:space="preserve"> </t>
    </r>
  </si>
  <si>
    <t xml:space="preserve">2010 </t>
  </si>
  <si>
    <r>
      <t xml:space="preserve">2011      </t>
    </r>
    <r>
      <rPr>
        <vertAlign val="superscript"/>
        <sz val="12"/>
        <rFont val="Helv"/>
        <family val="0"/>
      </rPr>
      <t xml:space="preserve"> </t>
    </r>
  </si>
  <si>
    <t>2012 février</t>
  </si>
  <si>
    <t>2013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</si>
  <si>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</si>
  <si>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</si>
  <si>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</si>
  <si>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</si>
  <si>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</si>
  <si>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</si>
  <si>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</si>
  <si>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2012 novembre</t>
  </si>
  <si>
    <t>2012 décembre</t>
  </si>
  <si>
    <t>2013 février</t>
  </si>
  <si>
    <t xml:space="preserve">          Juin</t>
  </si>
  <si>
    <t>2013 Mars</t>
  </si>
  <si>
    <t xml:space="preserve">          Mai</t>
  </si>
  <si>
    <t xml:space="preserve">          Septembre</t>
  </si>
  <si>
    <t xml:space="preserve">          Décembre</t>
  </si>
  <si>
    <t>2013 Avril</t>
  </si>
  <si>
    <t>2014 Janvier</t>
  </si>
  <si>
    <t>2013 Mai</t>
  </si>
  <si>
    <t>2013 Juin</t>
  </si>
  <si>
    <t>2013 Juillet</t>
  </si>
  <si>
    <t xml:space="preserve">          Juillet</t>
  </si>
  <si>
    <t>2015 Janvier</t>
  </si>
  <si>
    <t>2014</t>
  </si>
  <si>
    <t>2014 Mars</t>
  </si>
  <si>
    <t>2013 Août</t>
  </si>
  <si>
    <t>2013 Septembre</t>
  </si>
  <si>
    <t>2013 Octobre</t>
  </si>
  <si>
    <t>2013 Novembre</t>
  </si>
  <si>
    <t>2013 Décembre</t>
  </si>
  <si>
    <t>2014 Février</t>
  </si>
  <si>
    <t>2015</t>
  </si>
  <si>
    <t>2015 Mars</t>
  </si>
  <si>
    <t>2014 Avril</t>
  </si>
  <si>
    <t>2014 Mai</t>
  </si>
  <si>
    <t>2014Juin</t>
  </si>
  <si>
    <t>2013Juin</t>
  </si>
  <si>
    <t>2014 Août</t>
  </si>
  <si>
    <t>2016 Mars</t>
  </si>
  <si>
    <t>2016 Janvier</t>
  </si>
  <si>
    <t>2014 Septembre</t>
  </si>
  <si>
    <t>2014 Octobre</t>
  </si>
  <si>
    <t>2014 Novembre</t>
  </si>
  <si>
    <t>2014 Décembre</t>
  </si>
  <si>
    <t>Source: BRB</t>
  </si>
  <si>
    <t>2015 Février</t>
  </si>
  <si>
    <t>II.6</t>
  </si>
  <si>
    <t>2015 Avril</t>
  </si>
  <si>
    <t>2015 Juin</t>
  </si>
  <si>
    <t>2015 Juillet</t>
  </si>
  <si>
    <t>2016</t>
  </si>
  <si>
    <t>2015 Août</t>
  </si>
  <si>
    <t>2017 Janvier</t>
  </si>
  <si>
    <t xml:space="preserve">            Mars</t>
  </si>
  <si>
    <t xml:space="preserve">            Avril</t>
  </si>
  <si>
    <t xml:space="preserve">            Mai</t>
  </si>
  <si>
    <t xml:space="preserve">           Juin</t>
  </si>
  <si>
    <t xml:space="preserve">2017 Mars </t>
  </si>
  <si>
    <t>2015 Octobre</t>
  </si>
  <si>
    <t>2015 Novembre</t>
  </si>
  <si>
    <t>2015 Décembre</t>
  </si>
  <si>
    <t>2017</t>
  </si>
  <si>
    <t xml:space="preserve">           Septembre</t>
  </si>
  <si>
    <t xml:space="preserve">           Décembre</t>
  </si>
  <si>
    <t>2016 Février</t>
  </si>
  <si>
    <t>2016 Avril</t>
  </si>
  <si>
    <t>2016 Mai</t>
  </si>
  <si>
    <t>2016 Juin</t>
  </si>
  <si>
    <t>2016 Juillet</t>
  </si>
  <si>
    <t>2016 Août</t>
  </si>
  <si>
    <t>2016 Septembre</t>
  </si>
  <si>
    <t>2016 Octobre</t>
  </si>
  <si>
    <t>2016 Novembre</t>
  </si>
  <si>
    <t>2016 Décembre</t>
  </si>
  <si>
    <t>2018</t>
  </si>
  <si>
    <t xml:space="preserve">            Février(p)</t>
  </si>
  <si>
    <t>2017 Février</t>
  </si>
  <si>
    <t xml:space="preserve">            Mars(p)</t>
  </si>
  <si>
    <t>2018 Janvier</t>
  </si>
  <si>
    <t xml:space="preserve">            Juin</t>
  </si>
  <si>
    <t xml:space="preserve">            Juillet</t>
  </si>
  <si>
    <t xml:space="preserve">            Août</t>
  </si>
  <si>
    <t xml:space="preserve">            Septembre</t>
  </si>
  <si>
    <t xml:space="preserve">            Octobre</t>
  </si>
  <si>
    <t xml:space="preserve">            Novembre</t>
  </si>
  <si>
    <t xml:space="preserve">            Décembre</t>
  </si>
  <si>
    <t>2018 Mars</t>
  </si>
  <si>
    <t>2017  Mars</t>
  </si>
  <si>
    <t>2017 Avril</t>
  </si>
  <si>
    <t xml:space="preserve">            Avril(p)</t>
  </si>
  <si>
    <t xml:space="preserve">            Mai(p)</t>
  </si>
  <si>
    <t>2017 Mai</t>
  </si>
  <si>
    <t xml:space="preserve"> 2017 Juin</t>
  </si>
  <si>
    <t xml:space="preserve">            Juillet(p)</t>
  </si>
  <si>
    <t xml:space="preserve">            Juin(p)</t>
  </si>
  <si>
    <t xml:space="preserve">         Juin</t>
  </si>
  <si>
    <t xml:space="preserve">        Septembre</t>
  </si>
  <si>
    <t xml:space="preserve">        Décembre</t>
  </si>
  <si>
    <t>2017  Juillet</t>
  </si>
  <si>
    <t>2019  Mars(p)</t>
  </si>
  <si>
    <t xml:space="preserve">            Août(p)</t>
  </si>
  <si>
    <t>2017   Août</t>
  </si>
  <si>
    <t>2017  Septembre</t>
  </si>
  <si>
    <t xml:space="preserve">          Juin(p)</t>
  </si>
  <si>
    <t xml:space="preserve">          Septembre(p)</t>
  </si>
  <si>
    <t>2017   Octobre</t>
  </si>
  <si>
    <t>2019    Janvier(p)</t>
  </si>
  <si>
    <t xml:space="preserve">            Septembre(p)</t>
  </si>
  <si>
    <t xml:space="preserve">            Octobre(p)</t>
  </si>
  <si>
    <t xml:space="preserve">            Novembre(p)</t>
  </si>
  <si>
    <t>2017  Novembre</t>
  </si>
  <si>
    <t xml:space="preserve">            Décembre(p)</t>
  </si>
  <si>
    <t>2019(p)</t>
  </si>
  <si>
    <t>2017 Décembre</t>
  </si>
  <si>
    <t>2020   Janvier(p)</t>
  </si>
  <si>
    <t xml:space="preserve">           Février(p)</t>
  </si>
  <si>
    <t>2018    Février</t>
  </si>
</sst>
</file>

<file path=xl/styles.xml><?xml version="1.0" encoding="utf-8"?>
<styleSheet xmlns="http://schemas.openxmlformats.org/spreadsheetml/2006/main">
  <numFmts count="41">
    <numFmt numFmtId="5" formatCode="#,##0\ &quot;FBu&quot;;\-#,##0\ &quot;FBu&quot;"/>
    <numFmt numFmtId="6" formatCode="#,##0\ &quot;FBu&quot;;[Red]\-#,##0\ &quot;FBu&quot;"/>
    <numFmt numFmtId="7" formatCode="#,##0.00\ &quot;FBu&quot;;\-#,##0.00\ &quot;FBu&quot;"/>
    <numFmt numFmtId="8" formatCode="#,##0.00\ &quot;FBu&quot;;[Red]\-#,##0.00\ &quot;FBu&quot;"/>
    <numFmt numFmtId="42" formatCode="_-* #,##0\ &quot;FBu&quot;_-;\-* #,##0\ &quot;FBu&quot;_-;_-* &quot;-&quot;\ &quot;FBu&quot;_-;_-@_-"/>
    <numFmt numFmtId="41" formatCode="_-* #,##0\ _F_B_u_-;\-* #,##0\ _F_B_u_-;_-* &quot;-&quot;\ _F_B_u_-;_-@_-"/>
    <numFmt numFmtId="44" formatCode="_-* #,##0.00\ &quot;FBu&quot;_-;\-* #,##0.00\ &quot;FBu&quot;_-;_-* &quot;-&quot;??\ &quot;FBu&quot;_-;_-@_-"/>
    <numFmt numFmtId="43" formatCode="_-* #,##0.00\ _F_B_u_-;\-* #,##0.00\ _F_B_u_-;_-* &quot;-&quot;??\ _F_B_u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_);\(#,##0.0\)"/>
    <numFmt numFmtId="189" formatCode="General_)"/>
    <numFmt numFmtId="190" formatCode="0.0"/>
    <numFmt numFmtId="191" formatCode="#,##0.0"/>
    <numFmt numFmtId="192" formatCode="0.00_ ;\-0.00\ "/>
    <numFmt numFmtId="193" formatCode="0.0_ ;\-0.0\ "/>
    <numFmt numFmtId="194" formatCode="0.0_)"/>
    <numFmt numFmtId="195" formatCode="_-* #,##0.0\ _F_-;\-* #,##0.0\ _F_-;_-* &quot;-&quot;??\ _F_-;_-@_-"/>
    <numFmt numFmtId="196" formatCode="0_)"/>
  </numFmts>
  <fonts count="43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sz val="12"/>
      <color indexed="10"/>
      <name val="Helv"/>
      <family val="0"/>
    </font>
    <font>
      <vertAlign val="superscript"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1">
    <xf numFmtId="188" fontId="0" fillId="0" borderId="0" xfId="0" applyAlignment="1">
      <alignment/>
    </xf>
    <xf numFmtId="188" fontId="0" fillId="0" borderId="10" xfId="0" applyNumberFormat="1" applyFont="1" applyFill="1" applyBorder="1" applyAlignment="1" applyProtection="1">
      <alignment horizontal="fill"/>
      <protection/>
    </xf>
    <xf numFmtId="188" fontId="0" fillId="0" borderId="11" xfId="0" applyNumberFormat="1" applyFont="1" applyFill="1" applyBorder="1" applyAlignment="1" applyProtection="1">
      <alignment horizontal="fill"/>
      <protection/>
    </xf>
    <xf numFmtId="190" fontId="0" fillId="0" borderId="11" xfId="0" applyNumberFormat="1" applyFont="1" applyFill="1" applyBorder="1" applyAlignment="1" applyProtection="1">
      <alignment horizontal="fill"/>
      <protection/>
    </xf>
    <xf numFmtId="188" fontId="0" fillId="33" borderId="11" xfId="0" applyNumberFormat="1" applyFont="1" applyFill="1" applyBorder="1" applyAlignment="1" applyProtection="1">
      <alignment horizontal="fill"/>
      <protection/>
    </xf>
    <xf numFmtId="191" fontId="0" fillId="0" borderId="11" xfId="0" applyNumberFormat="1" applyFont="1" applyFill="1" applyBorder="1" applyAlignment="1" applyProtection="1">
      <alignment horizontal="fill"/>
      <protection/>
    </xf>
    <xf numFmtId="188" fontId="0" fillId="0" borderId="12" xfId="0" applyNumberFormat="1" applyFont="1" applyFill="1" applyBorder="1" applyAlignment="1" applyProtection="1">
      <alignment horizontal="fill"/>
      <protection/>
    </xf>
    <xf numFmtId="188" fontId="0" fillId="0" borderId="0" xfId="0" applyFont="1" applyFill="1" applyAlignment="1">
      <alignment/>
    </xf>
    <xf numFmtId="188" fontId="0" fillId="0" borderId="13" xfId="0" applyNumberFormat="1" applyFont="1" applyFill="1" applyBorder="1" applyAlignment="1" applyProtection="1">
      <alignment horizontal="left"/>
      <protection/>
    </xf>
    <xf numFmtId="188" fontId="0" fillId="0" borderId="0" xfId="0" applyNumberFormat="1" applyFont="1" applyFill="1" applyBorder="1" applyAlignment="1" applyProtection="1">
      <alignment/>
      <protection/>
    </xf>
    <xf numFmtId="190" fontId="0" fillId="0" borderId="0" xfId="0" applyNumberFormat="1" applyFont="1" applyFill="1" applyBorder="1" applyAlignment="1" applyProtection="1">
      <alignment/>
      <protection/>
    </xf>
    <xf numFmtId="188" fontId="0" fillId="33" borderId="0" xfId="0" applyNumberFormat="1" applyFont="1" applyFill="1" applyBorder="1" applyAlignment="1" applyProtection="1">
      <alignment/>
      <protection/>
    </xf>
    <xf numFmtId="191" fontId="0" fillId="0" borderId="0" xfId="0" applyNumberFormat="1" applyFont="1" applyFill="1" applyBorder="1" applyAlignment="1" applyProtection="1">
      <alignment/>
      <protection/>
    </xf>
    <xf numFmtId="188" fontId="7" fillId="0" borderId="14" xfId="0" applyNumberFormat="1" applyFont="1" applyFill="1" applyBorder="1" applyAlignment="1" applyProtection="1">
      <alignment/>
      <protection/>
    </xf>
    <xf numFmtId="188" fontId="0" fillId="0" borderId="13" xfId="0" applyNumberFormat="1" applyFont="1" applyFill="1" applyBorder="1" applyAlignment="1" applyProtection="1">
      <alignment/>
      <protection/>
    </xf>
    <xf numFmtId="188" fontId="7" fillId="0" borderId="0" xfId="0" applyNumberFormat="1" applyFont="1" applyFill="1" applyBorder="1" applyAlignment="1" applyProtection="1">
      <alignment/>
      <protection/>
    </xf>
    <xf numFmtId="190" fontId="7" fillId="0" borderId="0" xfId="0" applyNumberFormat="1" applyFont="1" applyFill="1" applyBorder="1" applyAlignment="1" applyProtection="1" quotePrefix="1">
      <alignment/>
      <protection/>
    </xf>
    <xf numFmtId="188" fontId="7" fillId="33" borderId="0" xfId="0" applyNumberFormat="1" applyFont="1" applyFill="1" applyBorder="1" applyAlignment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88" fontId="0" fillId="0" borderId="14" xfId="0" applyNumberFormat="1" applyFont="1" applyFill="1" applyBorder="1" applyAlignment="1" applyProtection="1">
      <alignment/>
      <protection/>
    </xf>
    <xf numFmtId="188" fontId="0" fillId="0" borderId="15" xfId="0" applyNumberFormat="1" applyFont="1" applyFill="1" applyBorder="1" applyAlignment="1" applyProtection="1">
      <alignment horizontal="fill"/>
      <protection/>
    </xf>
    <xf numFmtId="188" fontId="0" fillId="0" borderId="16" xfId="0" applyNumberFormat="1" applyFont="1" applyFill="1" applyBorder="1" applyAlignment="1" applyProtection="1">
      <alignment horizontal="fill"/>
      <protection/>
    </xf>
    <xf numFmtId="190" fontId="0" fillId="0" borderId="16" xfId="0" applyNumberFormat="1" applyFont="1" applyFill="1" applyBorder="1" applyAlignment="1" applyProtection="1">
      <alignment horizontal="fill"/>
      <protection/>
    </xf>
    <xf numFmtId="188" fontId="0" fillId="33" borderId="16" xfId="0" applyNumberFormat="1" applyFont="1" applyFill="1" applyBorder="1" applyAlignment="1" applyProtection="1">
      <alignment horizontal="fill"/>
      <protection/>
    </xf>
    <xf numFmtId="191" fontId="0" fillId="0" borderId="16" xfId="0" applyNumberFormat="1" applyFont="1" applyFill="1" applyBorder="1" applyAlignment="1" applyProtection="1">
      <alignment horizontal="fill"/>
      <protection/>
    </xf>
    <xf numFmtId="188" fontId="0" fillId="0" borderId="17" xfId="0" applyNumberFormat="1" applyFont="1" applyFill="1" applyBorder="1" applyAlignment="1" applyProtection="1">
      <alignment horizontal="fill"/>
      <protection/>
    </xf>
    <xf numFmtId="188" fontId="0" fillId="0" borderId="18" xfId="0" applyNumberFormat="1" applyFont="1" applyFill="1" applyBorder="1" applyAlignment="1" applyProtection="1">
      <alignment/>
      <protection/>
    </xf>
    <xf numFmtId="188" fontId="0" fillId="0" borderId="11" xfId="0" applyNumberFormat="1" applyFont="1" applyFill="1" applyBorder="1" applyAlignment="1" applyProtection="1">
      <alignment/>
      <protection/>
    </xf>
    <xf numFmtId="190" fontId="0" fillId="0" borderId="10" xfId="0" applyNumberFormat="1" applyFont="1" applyFill="1" applyBorder="1" applyAlignment="1" applyProtection="1">
      <alignment/>
      <protection/>
    </xf>
    <xf numFmtId="188" fontId="0" fillId="33" borderId="11" xfId="0" applyNumberFormat="1" applyFont="1" applyFill="1" applyBorder="1" applyAlignment="1" applyProtection="1">
      <alignment/>
      <protection/>
    </xf>
    <xf numFmtId="191" fontId="0" fillId="0" borderId="11" xfId="0" applyNumberFormat="1" applyFont="1" applyFill="1" applyBorder="1" applyAlignment="1" applyProtection="1">
      <alignment/>
      <protection/>
    </xf>
    <xf numFmtId="188" fontId="0" fillId="0" borderId="18" xfId="0" applyNumberFormat="1" applyFont="1" applyFill="1" applyBorder="1" applyAlignment="1" applyProtection="1">
      <alignment/>
      <protection/>
    </xf>
    <xf numFmtId="188" fontId="0" fillId="0" borderId="0" xfId="0" applyFont="1" applyFill="1" applyBorder="1" applyAlignment="1">
      <alignment/>
    </xf>
    <xf numFmtId="190" fontId="0" fillId="0" borderId="13" xfId="0" applyNumberFormat="1" applyFont="1" applyFill="1" applyBorder="1" applyAlignment="1" applyProtection="1">
      <alignment/>
      <protection/>
    </xf>
    <xf numFmtId="188" fontId="0" fillId="0" borderId="19" xfId="0" applyNumberFormat="1" applyFont="1" applyFill="1" applyBorder="1" applyAlignment="1" applyProtection="1">
      <alignment/>
      <protection/>
    </xf>
    <xf numFmtId="188" fontId="0" fillId="0" borderId="19" xfId="0" applyFont="1" applyFill="1" applyBorder="1" applyAlignment="1">
      <alignment/>
    </xf>
    <xf numFmtId="189" fontId="0" fillId="0" borderId="0" xfId="0" applyNumberFormat="1" applyFont="1" applyFill="1" applyBorder="1" applyAlignment="1" applyProtection="1">
      <alignment/>
      <protection/>
    </xf>
    <xf numFmtId="188" fontId="0" fillId="0" borderId="19" xfId="0" applyNumberFormat="1" applyFont="1" applyFill="1" applyBorder="1" applyAlignment="1" applyProtection="1">
      <alignment horizontal="center"/>
      <protection/>
    </xf>
    <xf numFmtId="188" fontId="0" fillId="0" borderId="0" xfId="0" applyNumberFormat="1" applyFont="1" applyFill="1" applyBorder="1" applyAlignment="1" applyProtection="1">
      <alignment horizontal="fill"/>
      <protection/>
    </xf>
    <xf numFmtId="188" fontId="0" fillId="0" borderId="19" xfId="0" applyNumberFormat="1" applyFont="1" applyFill="1" applyBorder="1" applyAlignment="1" applyProtection="1">
      <alignment horizontal="left"/>
      <protection/>
    </xf>
    <xf numFmtId="188" fontId="0" fillId="0" borderId="16" xfId="0" applyNumberFormat="1" applyFont="1" applyFill="1" applyBorder="1" applyAlignment="1" applyProtection="1">
      <alignment/>
      <protection/>
    </xf>
    <xf numFmtId="190" fontId="0" fillId="0" borderId="15" xfId="0" applyNumberFormat="1" applyFont="1" applyFill="1" applyBorder="1" applyAlignment="1" applyProtection="1">
      <alignment/>
      <protection/>
    </xf>
    <xf numFmtId="191" fontId="0" fillId="0" borderId="16" xfId="0" applyNumberFormat="1" applyFont="1" applyFill="1" applyBorder="1" applyAlignment="1" applyProtection="1">
      <alignment/>
      <protection/>
    </xf>
    <xf numFmtId="188" fontId="0" fillId="0" borderId="18" xfId="0" applyNumberFormat="1" applyFont="1" applyFill="1" applyBorder="1" applyAlignment="1" applyProtection="1">
      <alignment horizontal="left"/>
      <protection/>
    </xf>
    <xf numFmtId="188" fontId="0" fillId="0" borderId="13" xfId="0" applyNumberFormat="1" applyFont="1" applyFill="1" applyBorder="1" applyAlignment="1" applyProtection="1">
      <alignment/>
      <protection/>
    </xf>
    <xf numFmtId="188" fontId="0" fillId="0" borderId="10" xfId="0" applyNumberFormat="1" applyFont="1" applyFill="1" applyBorder="1" applyAlignment="1" applyProtection="1">
      <alignment/>
      <protection/>
    </xf>
    <xf numFmtId="188" fontId="0" fillId="33" borderId="12" xfId="0" applyNumberFormat="1" applyFont="1" applyFill="1" applyBorder="1" applyAlignment="1" applyProtection="1">
      <alignment/>
      <protection/>
    </xf>
    <xf numFmtId="188" fontId="0" fillId="0" borderId="12" xfId="0" applyNumberFormat="1" applyFont="1" applyFill="1" applyBorder="1" applyAlignment="1" applyProtection="1">
      <alignment/>
      <protection/>
    </xf>
    <xf numFmtId="191" fontId="0" fillId="0" borderId="18" xfId="0" applyNumberFormat="1" applyFont="1" applyFill="1" applyBorder="1" applyAlignment="1" applyProtection="1">
      <alignment/>
      <protection/>
    </xf>
    <xf numFmtId="188" fontId="0" fillId="0" borderId="0" xfId="0" applyNumberFormat="1" applyFont="1" applyFill="1" applyBorder="1" applyAlignment="1" applyProtection="1">
      <alignment horizontal="center"/>
      <protection/>
    </xf>
    <xf numFmtId="190" fontId="0" fillId="0" borderId="13" xfId="0" applyNumberFormat="1" applyFont="1" applyFill="1" applyBorder="1" applyAlignment="1" applyProtection="1">
      <alignment horizontal="center"/>
      <protection/>
    </xf>
    <xf numFmtId="188" fontId="0" fillId="0" borderId="13" xfId="0" applyNumberFormat="1" applyFont="1" applyFill="1" applyBorder="1" applyAlignment="1" applyProtection="1">
      <alignment horizontal="center"/>
      <protection/>
    </xf>
    <xf numFmtId="188" fontId="0" fillId="33" borderId="19" xfId="0" applyNumberFormat="1" applyFont="1" applyFill="1" applyBorder="1" applyAlignment="1" applyProtection="1">
      <alignment horizontal="center"/>
      <protection/>
    </xf>
    <xf numFmtId="188" fontId="0" fillId="0" borderId="14" xfId="0" applyNumberFormat="1" applyFont="1" applyFill="1" applyBorder="1" applyAlignment="1" applyProtection="1">
      <alignment horizontal="center"/>
      <protection/>
    </xf>
    <xf numFmtId="191" fontId="0" fillId="0" borderId="19" xfId="0" applyNumberFormat="1" applyFont="1" applyFill="1" applyBorder="1" applyAlignment="1" applyProtection="1">
      <alignment horizontal="center"/>
      <protection/>
    </xf>
    <xf numFmtId="188" fontId="0" fillId="0" borderId="0" xfId="0" applyNumberFormat="1" applyFont="1" applyFill="1" applyBorder="1" applyAlignment="1" applyProtection="1">
      <alignment horizontal="left"/>
      <protection/>
    </xf>
    <xf numFmtId="188" fontId="8" fillId="0" borderId="19" xfId="0" applyNumberFormat="1" applyFont="1" applyFill="1" applyBorder="1" applyAlignment="1" applyProtection="1">
      <alignment/>
      <protection/>
    </xf>
    <xf numFmtId="188" fontId="0" fillId="0" borderId="19" xfId="0" applyFont="1" applyFill="1" applyBorder="1" applyAlignment="1">
      <alignment horizontal="center"/>
    </xf>
    <xf numFmtId="188" fontId="0" fillId="0" borderId="0" xfId="0" applyFont="1" applyFill="1" applyAlignment="1">
      <alignment/>
    </xf>
    <xf numFmtId="191" fontId="0" fillId="0" borderId="19" xfId="0" applyNumberFormat="1" applyFont="1" applyFill="1" applyBorder="1" applyAlignment="1" applyProtection="1">
      <alignment/>
      <protection/>
    </xf>
    <xf numFmtId="188" fontId="0" fillId="0" borderId="20" xfId="0" applyNumberFormat="1" applyFont="1" applyFill="1" applyBorder="1" applyAlignment="1" applyProtection="1">
      <alignment horizontal="fill"/>
      <protection/>
    </xf>
    <xf numFmtId="190" fontId="0" fillId="0" borderId="15" xfId="0" applyNumberFormat="1" applyFont="1" applyFill="1" applyBorder="1" applyAlignment="1" applyProtection="1">
      <alignment horizontal="fill"/>
      <protection/>
    </xf>
    <xf numFmtId="188" fontId="0" fillId="33" borderId="17" xfId="0" applyNumberFormat="1" applyFont="1" applyFill="1" applyBorder="1" applyAlignment="1" applyProtection="1">
      <alignment horizontal="fill"/>
      <protection/>
    </xf>
    <xf numFmtId="191" fontId="0" fillId="0" borderId="20" xfId="0" applyNumberFormat="1" applyFont="1" applyFill="1" applyBorder="1" applyAlignment="1" applyProtection="1">
      <alignment horizontal="fill"/>
      <protection/>
    </xf>
    <xf numFmtId="188" fontId="0" fillId="0" borderId="10" xfId="0" applyNumberFormat="1" applyFont="1" applyFill="1" applyBorder="1" applyAlignment="1" applyProtection="1">
      <alignment/>
      <protection/>
    </xf>
    <xf numFmtId="190" fontId="0" fillId="0" borderId="18" xfId="0" applyNumberFormat="1" applyFont="1" applyFill="1" applyBorder="1" applyAlignment="1" applyProtection="1">
      <alignment/>
      <protection/>
    </xf>
    <xf numFmtId="188" fontId="0" fillId="33" borderId="19" xfId="0" applyNumberFormat="1" applyFont="1" applyFill="1" applyBorder="1" applyAlignment="1" applyProtection="1">
      <alignment/>
      <protection/>
    </xf>
    <xf numFmtId="188" fontId="0" fillId="0" borderId="19" xfId="0" applyNumberFormat="1" applyFont="1" applyFill="1" applyBorder="1" applyAlignment="1" applyProtection="1">
      <alignment horizontal="right"/>
      <protection/>
    </xf>
    <xf numFmtId="188" fontId="0" fillId="0" borderId="19" xfId="0" applyNumberFormat="1" applyFont="1" applyFill="1" applyBorder="1" applyAlignment="1" applyProtection="1" quotePrefix="1">
      <alignment horizontal="right"/>
      <protection/>
    </xf>
    <xf numFmtId="188" fontId="0" fillId="0" borderId="19" xfId="0" applyFont="1" applyFill="1" applyBorder="1" applyAlignment="1">
      <alignment horizontal="right"/>
    </xf>
    <xf numFmtId="191" fontId="0" fillId="0" borderId="19" xfId="0" applyNumberFormat="1" applyFont="1" applyBorder="1" applyAlignment="1">
      <alignment/>
    </xf>
    <xf numFmtId="188" fontId="0" fillId="33" borderId="14" xfId="0" applyNumberFormat="1" applyFont="1" applyFill="1" applyBorder="1" applyAlignment="1" applyProtection="1">
      <alignment horizontal="right"/>
      <protection/>
    </xf>
    <xf numFmtId="188" fontId="0" fillId="0" borderId="14" xfId="0" applyNumberFormat="1" applyFont="1" applyFill="1" applyBorder="1" applyAlignment="1" applyProtection="1">
      <alignment horizontal="right"/>
      <protection/>
    </xf>
    <xf numFmtId="193" fontId="0" fillId="0" borderId="19" xfId="0" applyNumberFormat="1" applyFont="1" applyFill="1" applyBorder="1" applyAlignment="1" applyProtection="1">
      <alignment horizontal="right"/>
      <protection/>
    </xf>
    <xf numFmtId="191" fontId="0" fillId="0" borderId="19" xfId="0" applyNumberFormat="1" applyFont="1" applyFill="1" applyBorder="1" applyAlignment="1" applyProtection="1">
      <alignment horizontal="right"/>
      <protection/>
    </xf>
    <xf numFmtId="188" fontId="0" fillId="0" borderId="0" xfId="0" applyFont="1" applyFill="1" applyBorder="1" applyAlignment="1">
      <alignment/>
    </xf>
    <xf numFmtId="191" fontId="0" fillId="0" borderId="19" xfId="0" applyNumberFormat="1" applyFont="1" applyBorder="1" applyAlignment="1" applyProtection="1">
      <alignment/>
      <protection/>
    </xf>
    <xf numFmtId="194" fontId="0" fillId="0" borderId="13" xfId="0" applyNumberFormat="1" applyFont="1" applyBorder="1" applyAlignment="1" applyProtection="1">
      <alignment horizontal="left"/>
      <protection/>
    </xf>
    <xf numFmtId="188" fontId="0" fillId="0" borderId="13" xfId="0" applyFont="1" applyFill="1" applyBorder="1" applyAlignment="1">
      <alignment horizontal="left"/>
    </xf>
    <xf numFmtId="191" fontId="0" fillId="0" borderId="19" xfId="0" applyNumberFormat="1" applyFont="1" applyFill="1" applyBorder="1" applyAlignment="1" applyProtection="1" quotePrefix="1">
      <alignment horizontal="right"/>
      <protection/>
    </xf>
    <xf numFmtId="188" fontId="0" fillId="0" borderId="15" xfId="0" applyFont="1" applyFill="1" applyBorder="1" applyAlignment="1">
      <alignment horizontal="left"/>
    </xf>
    <xf numFmtId="188" fontId="0" fillId="0" borderId="20" xfId="0" applyNumberFormat="1" applyFont="1" applyFill="1" applyBorder="1" applyAlignment="1" applyProtection="1">
      <alignment horizontal="right"/>
      <protection/>
    </xf>
    <xf numFmtId="188" fontId="0" fillId="0" borderId="20" xfId="0" applyFont="1" applyFill="1" applyBorder="1" applyAlignment="1">
      <alignment horizontal="right"/>
    </xf>
    <xf numFmtId="191" fontId="0" fillId="0" borderId="20" xfId="0" applyNumberFormat="1" applyFont="1" applyFill="1" applyBorder="1" applyAlignment="1" applyProtection="1">
      <alignment horizontal="right"/>
      <protection/>
    </xf>
    <xf numFmtId="188" fontId="0" fillId="33" borderId="20" xfId="0" applyNumberFormat="1" applyFont="1" applyFill="1" applyBorder="1" applyAlignment="1" applyProtection="1">
      <alignment horizontal="right"/>
      <protection/>
    </xf>
    <xf numFmtId="190" fontId="0" fillId="0" borderId="0" xfId="0" applyNumberFormat="1" applyFont="1" applyFill="1" applyAlignment="1">
      <alignment/>
    </xf>
    <xf numFmtId="188" fontId="0" fillId="33" borderId="0" xfId="0" applyFont="1" applyFill="1" applyAlignment="1">
      <alignment/>
    </xf>
    <xf numFmtId="191" fontId="0" fillId="0" borderId="0" xfId="0" applyNumberFormat="1" applyFont="1" applyFill="1" applyAlignment="1">
      <alignment/>
    </xf>
    <xf numFmtId="188" fontId="0" fillId="0" borderId="21" xfId="0" applyFont="1" applyFill="1" applyBorder="1" applyAlignment="1">
      <alignment/>
    </xf>
    <xf numFmtId="188" fontId="0" fillId="0" borderId="0" xfId="0" applyFont="1" applyFill="1" applyBorder="1" applyAlignment="1">
      <alignment horizontal="centerContinuous"/>
    </xf>
    <xf numFmtId="190" fontId="0" fillId="0" borderId="0" xfId="0" applyNumberFormat="1" applyFont="1" applyFill="1" applyBorder="1" applyAlignment="1">
      <alignment horizontal="centerContinuous"/>
    </xf>
    <xf numFmtId="188" fontId="0" fillId="33" borderId="0" xfId="0" applyFont="1" applyFill="1" applyBorder="1" applyAlignment="1">
      <alignment horizontal="centerContinuous"/>
    </xf>
    <xf numFmtId="191" fontId="0" fillId="0" borderId="0" xfId="0" applyNumberFormat="1" applyFont="1" applyFill="1" applyBorder="1" applyAlignment="1">
      <alignment horizontal="centerContinuous"/>
    </xf>
    <xf numFmtId="191" fontId="0" fillId="0" borderId="0" xfId="0" applyNumberFormat="1" applyFont="1" applyFill="1" applyBorder="1" applyAlignment="1" applyProtection="1">
      <alignment horizontal="right"/>
      <protection/>
    </xf>
    <xf numFmtId="188" fontId="0" fillId="0" borderId="0" xfId="0" applyFont="1" applyFill="1" applyBorder="1" applyAlignment="1">
      <alignment horizontal="center"/>
    </xf>
    <xf numFmtId="190" fontId="0" fillId="0" borderId="0" xfId="0" applyNumberFormat="1" applyFont="1" applyFill="1" applyBorder="1" applyAlignment="1">
      <alignment/>
    </xf>
    <xf numFmtId="188" fontId="0" fillId="33" borderId="0" xfId="0" applyFont="1" applyFill="1" applyBorder="1" applyAlignment="1">
      <alignment/>
    </xf>
    <xf numFmtId="191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 applyProtection="1">
      <alignment horizontal="right"/>
      <protection/>
    </xf>
    <xf numFmtId="188" fontId="0" fillId="0" borderId="13" xfId="0" applyFill="1" applyBorder="1" applyAlignment="1">
      <alignment horizontal="left"/>
    </xf>
    <xf numFmtId="188" fontId="0" fillId="0" borderId="13" xfId="0" applyFill="1" applyBorder="1" applyAlignment="1" quotePrefix="1">
      <alignment horizontal="left"/>
    </xf>
    <xf numFmtId="194" fontId="0" fillId="0" borderId="13" xfId="0" applyNumberFormat="1" applyBorder="1" applyAlignment="1" applyProtection="1" quotePrefix="1">
      <alignment horizontal="left"/>
      <protection/>
    </xf>
    <xf numFmtId="194" fontId="0" fillId="0" borderId="13" xfId="0" applyNumberFormat="1" applyBorder="1" applyAlignment="1" applyProtection="1">
      <alignment horizontal="left"/>
      <protection/>
    </xf>
    <xf numFmtId="188" fontId="0" fillId="0" borderId="10" xfId="0" applyFont="1" applyFill="1" applyBorder="1" applyAlignment="1">
      <alignment/>
    </xf>
    <xf numFmtId="188" fontId="0" fillId="0" borderId="11" xfId="0" applyFont="1" applyFill="1" applyBorder="1" applyAlignment="1">
      <alignment/>
    </xf>
    <xf numFmtId="190" fontId="0" fillId="0" borderId="11" xfId="0" applyNumberFormat="1" applyFont="1" applyFill="1" applyBorder="1" applyAlignment="1">
      <alignment/>
    </xf>
    <xf numFmtId="188" fontId="0" fillId="33" borderId="11" xfId="0" applyFont="1" applyFill="1" applyBorder="1" applyAlignment="1">
      <alignment/>
    </xf>
    <xf numFmtId="191" fontId="0" fillId="0" borderId="11" xfId="0" applyNumberFormat="1" applyFont="1" applyFill="1" applyBorder="1" applyAlignment="1">
      <alignment/>
    </xf>
    <xf numFmtId="188" fontId="0" fillId="0" borderId="12" xfId="0" applyFont="1" applyFill="1" applyBorder="1" applyAlignment="1">
      <alignment/>
    </xf>
    <xf numFmtId="188" fontId="0" fillId="0" borderId="16" xfId="0" applyFont="1" applyFill="1" applyBorder="1" applyAlignment="1">
      <alignment horizontal="centerContinuous"/>
    </xf>
    <xf numFmtId="190" fontId="0" fillId="0" borderId="16" xfId="0" applyNumberFormat="1" applyFont="1" applyFill="1" applyBorder="1" applyAlignment="1">
      <alignment horizontal="centerContinuous"/>
    </xf>
    <xf numFmtId="188" fontId="0" fillId="33" borderId="16" xfId="0" applyFont="1" applyFill="1" applyBorder="1" applyAlignment="1">
      <alignment horizontal="centerContinuous"/>
    </xf>
    <xf numFmtId="191" fontId="0" fillId="0" borderId="16" xfId="0" applyNumberFormat="1" applyFont="1" applyFill="1" applyBorder="1" applyAlignment="1">
      <alignment horizontal="centerContinuous"/>
    </xf>
    <xf numFmtId="191" fontId="0" fillId="0" borderId="16" xfId="0" applyNumberFormat="1" applyFont="1" applyFill="1" applyBorder="1" applyAlignment="1" applyProtection="1">
      <alignment horizontal="right"/>
      <protection/>
    </xf>
    <xf numFmtId="188" fontId="0" fillId="0" borderId="16" xfId="0" applyFont="1" applyFill="1" applyBorder="1" applyAlignment="1">
      <alignment horizontal="center"/>
    </xf>
    <xf numFmtId="188" fontId="0" fillId="0" borderId="17" xfId="0" applyFont="1" applyFill="1" applyBorder="1" applyAlignment="1">
      <alignment horizontal="centerContinuous"/>
    </xf>
    <xf numFmtId="188" fontId="0" fillId="33" borderId="14" xfId="0" applyNumberFormat="1" applyFont="1" applyFill="1" applyBorder="1" applyAlignment="1" applyProtection="1">
      <alignment horizontal="right"/>
      <protection/>
    </xf>
    <xf numFmtId="188" fontId="7" fillId="0" borderId="19" xfId="0" applyNumberFormat="1" applyFont="1" applyFill="1" applyBorder="1" applyAlignment="1" applyProtection="1">
      <alignment/>
      <protection/>
    </xf>
    <xf numFmtId="188" fontId="7" fillId="0" borderId="19" xfId="0" applyNumberFormat="1" applyFont="1" applyFill="1" applyBorder="1" applyAlignment="1" applyProtection="1">
      <alignment horizontal="fill"/>
      <protection/>
    </xf>
    <xf numFmtId="188" fontId="7" fillId="0" borderId="19" xfId="0" applyFont="1" applyFill="1" applyBorder="1" applyAlignment="1">
      <alignment/>
    </xf>
    <xf numFmtId="188" fontId="7" fillId="0" borderId="20" xfId="0" applyNumberFormat="1" applyFont="1" applyFill="1" applyBorder="1" applyAlignment="1" applyProtection="1">
      <alignment horizontal="fill"/>
      <protection/>
    </xf>
    <xf numFmtId="188" fontId="7" fillId="0" borderId="15" xfId="0" applyFont="1" applyFill="1" applyBorder="1" applyAlignment="1">
      <alignment/>
    </xf>
    <xf numFmtId="188" fontId="7" fillId="0" borderId="0" xfId="0" applyNumberFormat="1" applyFont="1" applyFill="1" applyBorder="1" applyAlignment="1" applyProtection="1">
      <alignment horizontal="center"/>
      <protection/>
    </xf>
    <xf numFmtId="188" fontId="7" fillId="0" borderId="19" xfId="0" applyNumberFormat="1" applyFont="1" applyFill="1" applyBorder="1" applyAlignment="1" applyProtection="1">
      <alignment horizontal="center"/>
      <protection/>
    </xf>
    <xf numFmtId="188" fontId="7" fillId="0" borderId="19" xfId="0" applyNumberFormat="1" applyFont="1" applyFill="1" applyBorder="1" applyAlignment="1" applyProtection="1">
      <alignment horizontal="left"/>
      <protection/>
    </xf>
    <xf numFmtId="188" fontId="7" fillId="0" borderId="19" xfId="0" applyNumberFormat="1" applyFont="1" applyFill="1" applyBorder="1" applyAlignment="1" applyProtection="1">
      <alignment/>
      <protection/>
    </xf>
    <xf numFmtId="191" fontId="0" fillId="0" borderId="19" xfId="0" applyNumberFormat="1" applyFont="1" applyFill="1" applyBorder="1" applyAlignment="1">
      <alignment horizontal="right"/>
    </xf>
    <xf numFmtId="191" fontId="0" fillId="0" borderId="14" xfId="0" applyNumberFormat="1" applyFont="1" applyFill="1" applyBorder="1" applyAlignment="1" applyProtection="1">
      <alignment horizontal="right"/>
      <protection/>
    </xf>
    <xf numFmtId="188" fontId="7" fillId="0" borderId="13" xfId="0" applyNumberFormat="1" applyFont="1" applyFill="1" applyBorder="1" applyAlignment="1" applyProtection="1">
      <alignment horizontal="center"/>
      <protection/>
    </xf>
    <xf numFmtId="188" fontId="7" fillId="0" borderId="0" xfId="0" applyNumberFormat="1" applyFont="1" applyFill="1" applyBorder="1" applyAlignment="1" applyProtection="1">
      <alignment horizontal="center"/>
      <protection/>
    </xf>
    <xf numFmtId="188" fontId="7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0</xdr:col>
      <xdr:colOff>1600200</xdr:colOff>
      <xdr:row>16</xdr:row>
      <xdr:rowOff>142875</xdr:rowOff>
    </xdr:to>
    <xdr:sp>
      <xdr:nvSpPr>
        <xdr:cNvPr id="1" name="Line 3"/>
        <xdr:cNvSpPr>
          <a:spLocks/>
        </xdr:cNvSpPr>
      </xdr:nvSpPr>
      <xdr:spPr>
        <a:xfrm>
          <a:off x="9525" y="1209675"/>
          <a:ext cx="1590675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243"/>
  <sheetViews>
    <sheetView showGridLines="0" tabSelected="1" view="pageBreakPreview" zoomScale="60" zoomScaleNormal="60" zoomScalePageLayoutView="0" workbookViewId="0" topLeftCell="A1">
      <pane xSplit="1" ySplit="17" topLeftCell="Q18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A31" sqref="A31"/>
    </sheetView>
  </sheetViews>
  <sheetFormatPr defaultColWidth="13.88671875" defaultRowHeight="15.75"/>
  <cols>
    <col min="1" max="1" width="18.6640625" style="7" customWidth="1"/>
    <col min="2" max="2" width="13.5546875" style="58" customWidth="1"/>
    <col min="3" max="3" width="13.77734375" style="58" customWidth="1"/>
    <col min="4" max="4" width="14.99609375" style="58" customWidth="1"/>
    <col min="5" max="5" width="15.21484375" style="58" customWidth="1"/>
    <col min="6" max="6" width="14.21484375" style="58" customWidth="1"/>
    <col min="7" max="7" width="15.6640625" style="58" customWidth="1"/>
    <col min="8" max="8" width="12.6640625" style="58" customWidth="1"/>
    <col min="9" max="9" width="14.88671875" style="58" customWidth="1"/>
    <col min="10" max="10" width="13.10546875" style="85" customWidth="1"/>
    <col min="11" max="11" width="11.99609375" style="58" customWidth="1"/>
    <col min="12" max="12" width="14.77734375" style="58" customWidth="1"/>
    <col min="13" max="13" width="17.6640625" style="58" customWidth="1"/>
    <col min="14" max="14" width="16.10546875" style="58" customWidth="1"/>
    <col min="15" max="15" width="18.21484375" style="86" hidden="1" customWidth="1"/>
    <col min="16" max="16" width="15.5546875" style="58" customWidth="1"/>
    <col min="17" max="17" width="16.6640625" style="87" customWidth="1"/>
    <col min="18" max="18" width="17.77734375" style="58" customWidth="1"/>
    <col min="19" max="19" width="14.10546875" style="58" customWidth="1"/>
    <col min="20" max="20" width="17.88671875" style="58" customWidth="1"/>
    <col min="21" max="21" width="19.88671875" style="58" bestFit="1" customWidth="1"/>
    <col min="22" max="16384" width="13.88671875" style="7" customWidth="1"/>
  </cols>
  <sheetData>
    <row r="1" spans="1:21" ht="15.75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2"/>
      <c r="O1" s="4"/>
      <c r="P1" s="2"/>
      <c r="Q1" s="5"/>
      <c r="R1" s="2"/>
      <c r="S1" s="2"/>
      <c r="T1" s="2"/>
      <c r="U1" s="6"/>
    </row>
    <row r="2" spans="1:21" ht="15.75">
      <c r="A2" s="8" t="s">
        <v>0</v>
      </c>
      <c r="B2" s="9"/>
      <c r="C2" s="9"/>
      <c r="D2" s="9"/>
      <c r="E2" s="9"/>
      <c r="F2" s="9"/>
      <c r="G2" s="9"/>
      <c r="H2" s="9"/>
      <c r="I2" s="9"/>
      <c r="J2" s="10"/>
      <c r="K2" s="9"/>
      <c r="L2" s="9"/>
      <c r="M2" s="9"/>
      <c r="N2" s="9"/>
      <c r="O2" s="11"/>
      <c r="P2" s="9"/>
      <c r="Q2" s="12"/>
      <c r="R2" s="9"/>
      <c r="S2" s="9"/>
      <c r="T2" s="9"/>
      <c r="U2" s="13" t="s">
        <v>153</v>
      </c>
    </row>
    <row r="3" spans="1:21" ht="15.75" customHeight="1">
      <c r="A3" s="128" t="s">
        <v>40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30"/>
    </row>
    <row r="4" spans="1:21" ht="15.75" customHeight="1">
      <c r="A4" s="14"/>
      <c r="B4" s="9"/>
      <c r="C4" s="9"/>
      <c r="D4" s="9"/>
      <c r="E4" s="15"/>
      <c r="F4" s="9"/>
      <c r="G4" s="9"/>
      <c r="H4" s="9"/>
      <c r="I4" s="9"/>
      <c r="J4" s="16"/>
      <c r="K4" s="15"/>
      <c r="L4" s="15"/>
      <c r="M4" s="15"/>
      <c r="N4" s="15"/>
      <c r="O4" s="17"/>
      <c r="P4" s="15"/>
      <c r="Q4" s="18"/>
      <c r="R4" s="15"/>
      <c r="S4" s="15"/>
      <c r="T4" s="9"/>
      <c r="U4" s="19"/>
    </row>
    <row r="5" spans="1:21" ht="15.75">
      <c r="A5" s="8" t="s">
        <v>0</v>
      </c>
      <c r="B5" s="9" t="s">
        <v>0</v>
      </c>
      <c r="C5" s="9"/>
      <c r="D5" s="9"/>
      <c r="E5" s="9" t="s">
        <v>0</v>
      </c>
      <c r="F5" s="9"/>
      <c r="G5" s="9"/>
      <c r="H5" s="9"/>
      <c r="I5" s="9"/>
      <c r="J5" s="10"/>
      <c r="K5" s="9"/>
      <c r="L5" s="9"/>
      <c r="M5" s="9"/>
      <c r="N5" s="9"/>
      <c r="O5" s="11"/>
      <c r="P5" s="9"/>
      <c r="Q5" s="12"/>
      <c r="R5" s="9"/>
      <c r="S5" s="9"/>
      <c r="T5" s="9"/>
      <c r="U5" s="19"/>
    </row>
    <row r="6" spans="1:21" ht="15.75">
      <c r="A6" s="20"/>
      <c r="B6" s="21"/>
      <c r="C6" s="21"/>
      <c r="D6" s="21"/>
      <c r="E6" s="21"/>
      <c r="F6" s="21"/>
      <c r="G6" s="21"/>
      <c r="H6" s="21"/>
      <c r="I6" s="21"/>
      <c r="J6" s="22"/>
      <c r="K6" s="21"/>
      <c r="L6" s="21"/>
      <c r="M6" s="21"/>
      <c r="N6" s="21"/>
      <c r="O6" s="23"/>
      <c r="P6" s="21"/>
      <c r="Q6" s="24"/>
      <c r="R6" s="21"/>
      <c r="S6" s="21"/>
      <c r="T6" s="21"/>
      <c r="U6" s="25"/>
    </row>
    <row r="7" spans="1:21" ht="15.75">
      <c r="A7" s="26"/>
      <c r="B7" s="27"/>
      <c r="C7" s="27"/>
      <c r="D7" s="27"/>
      <c r="E7" s="27"/>
      <c r="F7" s="27"/>
      <c r="G7" s="27"/>
      <c r="H7" s="27"/>
      <c r="I7" s="27"/>
      <c r="J7" s="28"/>
      <c r="K7" s="27"/>
      <c r="L7" s="27"/>
      <c r="M7" s="27"/>
      <c r="N7" s="27"/>
      <c r="O7" s="29"/>
      <c r="P7" s="27"/>
      <c r="Q7" s="30"/>
      <c r="R7" s="27"/>
      <c r="S7" s="27"/>
      <c r="T7" s="31"/>
      <c r="U7" s="31"/>
    </row>
    <row r="8" spans="1:21" ht="15.75">
      <c r="A8" s="117" t="s">
        <v>13</v>
      </c>
      <c r="B8" s="9"/>
      <c r="C8" s="9"/>
      <c r="D8" s="9"/>
      <c r="E8" s="15" t="s">
        <v>36</v>
      </c>
      <c r="F8" s="9"/>
      <c r="G8" s="9"/>
      <c r="H8" s="9"/>
      <c r="I8" s="32"/>
      <c r="J8" s="33"/>
      <c r="K8" s="9"/>
      <c r="L8" s="9"/>
      <c r="M8" s="9"/>
      <c r="N8" s="9"/>
      <c r="O8" s="11"/>
      <c r="P8" s="9"/>
      <c r="Q8" s="12"/>
      <c r="R8" s="9"/>
      <c r="S8" s="9"/>
      <c r="T8" s="34"/>
      <c r="U8" s="35"/>
    </row>
    <row r="9" spans="1:21" ht="15.75">
      <c r="A9" s="117"/>
      <c r="B9" s="9"/>
      <c r="C9" s="9"/>
      <c r="D9" s="9"/>
      <c r="E9" s="32"/>
      <c r="F9" s="9"/>
      <c r="G9" s="9"/>
      <c r="H9" s="9"/>
      <c r="I9" s="9"/>
      <c r="J9" s="33"/>
      <c r="K9" s="36"/>
      <c r="L9" s="36"/>
      <c r="M9" s="15" t="s">
        <v>38</v>
      </c>
      <c r="N9" s="9"/>
      <c r="O9" s="11"/>
      <c r="P9" s="36"/>
      <c r="Q9" s="12"/>
      <c r="R9" s="36"/>
      <c r="S9" s="36"/>
      <c r="T9" s="123" t="s">
        <v>37</v>
      </c>
      <c r="U9" s="34"/>
    </row>
    <row r="10" spans="1:21" ht="15.75">
      <c r="A10" s="118"/>
      <c r="B10" s="38"/>
      <c r="C10" s="38"/>
      <c r="D10" s="38"/>
      <c r="E10" s="38"/>
      <c r="F10" s="38"/>
      <c r="G10" s="38"/>
      <c r="H10" s="38"/>
      <c r="I10" s="38"/>
      <c r="J10" s="33"/>
      <c r="K10" s="9"/>
      <c r="L10" s="9"/>
      <c r="M10" s="9"/>
      <c r="N10" s="9"/>
      <c r="O10" s="11"/>
      <c r="P10" s="9"/>
      <c r="Q10" s="12"/>
      <c r="R10" s="9"/>
      <c r="S10" s="9"/>
      <c r="T10" s="123" t="s">
        <v>96</v>
      </c>
      <c r="U10" s="124" t="s">
        <v>39</v>
      </c>
    </row>
    <row r="11" spans="1:21" ht="15.75">
      <c r="A11" s="117"/>
      <c r="B11" s="40"/>
      <c r="C11" s="40"/>
      <c r="D11" s="40"/>
      <c r="E11" s="40"/>
      <c r="F11" s="40"/>
      <c r="G11" s="40"/>
      <c r="H11" s="40"/>
      <c r="I11" s="40"/>
      <c r="J11" s="41"/>
      <c r="K11" s="40"/>
      <c r="L11" s="40"/>
      <c r="M11" s="40"/>
      <c r="N11" s="9"/>
      <c r="O11" s="11"/>
      <c r="P11" s="40"/>
      <c r="Q11" s="42"/>
      <c r="R11" s="40"/>
      <c r="S11" s="40"/>
      <c r="T11" s="34"/>
      <c r="U11" s="34"/>
    </row>
    <row r="12" spans="1:21" ht="15.75">
      <c r="A12" s="117"/>
      <c r="B12" s="43"/>
      <c r="C12" s="27"/>
      <c r="D12" s="31"/>
      <c r="E12" s="31"/>
      <c r="F12" s="31"/>
      <c r="G12" s="27"/>
      <c r="H12" s="31"/>
      <c r="I12" s="44"/>
      <c r="J12" s="28"/>
      <c r="K12" s="31"/>
      <c r="L12" s="31"/>
      <c r="M12" s="45"/>
      <c r="N12" s="31"/>
      <c r="O12" s="46"/>
      <c r="P12" s="47"/>
      <c r="Q12" s="48"/>
      <c r="R12" s="31"/>
      <c r="S12" s="31"/>
      <c r="T12" s="34"/>
      <c r="U12" s="34"/>
    </row>
    <row r="13" spans="1:21" ht="15.75">
      <c r="A13" s="119"/>
      <c r="B13" s="39" t="s">
        <v>15</v>
      </c>
      <c r="C13" s="9" t="s">
        <v>1</v>
      </c>
      <c r="D13" s="37" t="s">
        <v>91</v>
      </c>
      <c r="E13" s="34" t="s">
        <v>2</v>
      </c>
      <c r="F13" s="37" t="s">
        <v>3</v>
      </c>
      <c r="G13" s="49" t="s">
        <v>91</v>
      </c>
      <c r="H13" s="37" t="s">
        <v>4</v>
      </c>
      <c r="I13" s="122" t="s">
        <v>35</v>
      </c>
      <c r="J13" s="50" t="s">
        <v>18</v>
      </c>
      <c r="K13" s="37" t="s">
        <v>21</v>
      </c>
      <c r="L13" s="37" t="s">
        <v>25</v>
      </c>
      <c r="M13" s="51" t="s">
        <v>25</v>
      </c>
      <c r="N13" s="37" t="s">
        <v>25</v>
      </c>
      <c r="O13" s="52" t="s">
        <v>25</v>
      </c>
      <c r="P13" s="53" t="s">
        <v>25</v>
      </c>
      <c r="Q13" s="54" t="s">
        <v>33</v>
      </c>
      <c r="R13" s="34" t="s">
        <v>32</v>
      </c>
      <c r="S13" s="125" t="s">
        <v>35</v>
      </c>
      <c r="T13" s="39"/>
      <c r="U13" s="39"/>
    </row>
    <row r="14" spans="1:21" ht="15.75">
      <c r="A14" s="117"/>
      <c r="B14" s="39" t="s">
        <v>16</v>
      </c>
      <c r="C14" s="55" t="s">
        <v>99</v>
      </c>
      <c r="D14" s="37" t="s">
        <v>5</v>
      </c>
      <c r="E14" s="34" t="s">
        <v>5</v>
      </c>
      <c r="F14" s="37" t="s">
        <v>6</v>
      </c>
      <c r="G14" s="49" t="s">
        <v>5</v>
      </c>
      <c r="H14" s="37" t="s">
        <v>46</v>
      </c>
      <c r="I14" s="32"/>
      <c r="J14" s="50" t="s">
        <v>19</v>
      </c>
      <c r="K14" s="37" t="s">
        <v>22</v>
      </c>
      <c r="L14" s="37" t="s">
        <v>26</v>
      </c>
      <c r="M14" s="51" t="s">
        <v>28</v>
      </c>
      <c r="N14" s="37" t="s">
        <v>30</v>
      </c>
      <c r="O14" s="52" t="s">
        <v>93</v>
      </c>
      <c r="P14" s="53" t="s">
        <v>29</v>
      </c>
      <c r="Q14" s="54" t="s">
        <v>34</v>
      </c>
      <c r="R14" s="34"/>
      <c r="S14" s="56"/>
      <c r="T14" s="57"/>
      <c r="U14" s="57"/>
    </row>
    <row r="15" spans="1:21" ht="15.75">
      <c r="A15" s="117"/>
      <c r="B15" s="39" t="s">
        <v>17</v>
      </c>
      <c r="C15" s="9" t="s">
        <v>7</v>
      </c>
      <c r="D15" s="37" t="s">
        <v>92</v>
      </c>
      <c r="E15" s="34" t="s">
        <v>8</v>
      </c>
      <c r="F15" s="37" t="s">
        <v>9</v>
      </c>
      <c r="G15" s="49" t="s">
        <v>95</v>
      </c>
      <c r="H15" s="34" t="s">
        <v>0</v>
      </c>
      <c r="I15" s="44"/>
      <c r="J15" s="50" t="s">
        <v>20</v>
      </c>
      <c r="K15" s="37" t="s">
        <v>23</v>
      </c>
      <c r="L15" s="37" t="s">
        <v>27</v>
      </c>
      <c r="M15" s="51" t="s">
        <v>11</v>
      </c>
      <c r="N15" s="37" t="s">
        <v>9</v>
      </c>
      <c r="O15" s="52" t="s">
        <v>94</v>
      </c>
      <c r="Q15" s="54"/>
      <c r="R15" s="34"/>
      <c r="S15" s="34"/>
      <c r="T15" s="34"/>
      <c r="U15" s="34"/>
    </row>
    <row r="16" spans="1:21" ht="15.75">
      <c r="A16" s="117" t="s">
        <v>14</v>
      </c>
      <c r="B16" s="34" t="s">
        <v>24</v>
      </c>
      <c r="C16" s="9" t="s">
        <v>10</v>
      </c>
      <c r="D16" s="37"/>
      <c r="E16" s="34" t="s">
        <v>11</v>
      </c>
      <c r="F16" s="37" t="s">
        <v>12</v>
      </c>
      <c r="G16" s="49" t="s">
        <v>94</v>
      </c>
      <c r="H16" s="34" t="s">
        <v>0</v>
      </c>
      <c r="I16" s="44"/>
      <c r="J16" s="33"/>
      <c r="K16" s="34"/>
      <c r="L16" s="34"/>
      <c r="M16" s="51"/>
      <c r="N16" s="37" t="s">
        <v>31</v>
      </c>
      <c r="O16" s="52"/>
      <c r="P16" s="19"/>
      <c r="Q16" s="59"/>
      <c r="R16" s="34"/>
      <c r="S16" s="34"/>
      <c r="T16" s="34"/>
      <c r="U16" s="34"/>
    </row>
    <row r="17" spans="1:21" ht="12.75" customHeight="1">
      <c r="A17" s="120"/>
      <c r="B17" s="60"/>
      <c r="C17" s="21"/>
      <c r="D17" s="60"/>
      <c r="E17" s="60"/>
      <c r="F17" s="60"/>
      <c r="G17" s="60"/>
      <c r="H17" s="60"/>
      <c r="I17" s="20"/>
      <c r="J17" s="61"/>
      <c r="K17" s="60"/>
      <c r="L17" s="60"/>
      <c r="M17" s="20"/>
      <c r="N17" s="60"/>
      <c r="O17" s="62"/>
      <c r="P17" s="25"/>
      <c r="Q17" s="63"/>
      <c r="R17" s="60"/>
      <c r="S17" s="60"/>
      <c r="T17" s="60"/>
      <c r="U17" s="60"/>
    </row>
    <row r="18" spans="1:21" ht="15.75">
      <c r="A18" s="64"/>
      <c r="B18" s="31"/>
      <c r="C18" s="9"/>
      <c r="D18" s="34"/>
      <c r="E18" s="34"/>
      <c r="F18" s="34"/>
      <c r="G18" s="34"/>
      <c r="H18" s="34"/>
      <c r="I18" s="34"/>
      <c r="J18" s="65"/>
      <c r="K18" s="31"/>
      <c r="L18" s="34"/>
      <c r="M18" s="34"/>
      <c r="N18" s="34"/>
      <c r="O18" s="66"/>
      <c r="P18" s="34"/>
      <c r="Q18" s="59"/>
      <c r="R18" s="34"/>
      <c r="S18" s="34"/>
      <c r="T18" s="31"/>
      <c r="U18" s="31"/>
    </row>
    <row r="19" spans="1:21" s="75" customFormat="1" ht="15.75" hidden="1">
      <c r="A19" s="100" t="s">
        <v>47</v>
      </c>
      <c r="B19" s="67">
        <v>124230.9</v>
      </c>
      <c r="C19" s="67">
        <v>24965.9</v>
      </c>
      <c r="D19" s="68" t="s">
        <v>43</v>
      </c>
      <c r="E19" s="67">
        <v>1127</v>
      </c>
      <c r="F19" s="67">
        <v>4527.2</v>
      </c>
      <c r="G19" s="67">
        <v>56.9</v>
      </c>
      <c r="H19" s="69">
        <v>1675.3</v>
      </c>
      <c r="I19" s="67">
        <f aca="true" t="shared" si="0" ref="I19:I24">H19+F19+E19+C19+B19+G19+D19</f>
        <v>156583.19999999998</v>
      </c>
      <c r="J19" s="70">
        <v>159092.20000000007</v>
      </c>
      <c r="K19" s="67">
        <v>76990.5</v>
      </c>
      <c r="L19" s="68" t="s">
        <v>43</v>
      </c>
      <c r="M19" s="67">
        <v>380.9</v>
      </c>
      <c r="N19" s="67">
        <v>25</v>
      </c>
      <c r="O19" s="71" t="s">
        <v>43</v>
      </c>
      <c r="P19" s="72">
        <v>3901.2000000000003</v>
      </c>
      <c r="Q19" s="73">
        <v>-12000</v>
      </c>
      <c r="R19" s="74">
        <v>-71806.6</v>
      </c>
      <c r="S19" s="67">
        <f aca="true" t="shared" si="1" ref="S19:S24">R19+Q19+P19+N19+M19+L19+K19+J19+O19</f>
        <v>156583.20000000007</v>
      </c>
      <c r="T19" s="67">
        <v>482598.3</v>
      </c>
      <c r="U19" s="67">
        <f aca="true" t="shared" si="2" ref="U19:U24">T19/I19</f>
        <v>3.082056695737474</v>
      </c>
    </row>
    <row r="20" spans="1:21" s="75" customFormat="1" ht="15.75" hidden="1">
      <c r="A20" s="100" t="s">
        <v>53</v>
      </c>
      <c r="B20" s="67">
        <v>136206.2</v>
      </c>
      <c r="C20" s="67">
        <v>53891.1</v>
      </c>
      <c r="D20" s="68" t="s">
        <v>43</v>
      </c>
      <c r="E20" s="67">
        <v>1014.1</v>
      </c>
      <c r="F20" s="67">
        <v>6100.8</v>
      </c>
      <c r="G20" s="67">
        <v>29.2</v>
      </c>
      <c r="H20" s="69">
        <v>901.8</v>
      </c>
      <c r="I20" s="67">
        <f t="shared" si="0"/>
        <v>198143.2</v>
      </c>
      <c r="J20" s="70">
        <v>144966.20000000007</v>
      </c>
      <c r="K20" s="67">
        <v>167752.20000000004</v>
      </c>
      <c r="L20" s="68" t="s">
        <v>43</v>
      </c>
      <c r="M20" s="67">
        <v>380.9</v>
      </c>
      <c r="N20" s="67">
        <v>20</v>
      </c>
      <c r="O20" s="71" t="s">
        <v>43</v>
      </c>
      <c r="P20" s="72">
        <v>4342.7</v>
      </c>
      <c r="Q20" s="73">
        <v>-10000</v>
      </c>
      <c r="R20" s="74">
        <v>-109318.79999999999</v>
      </c>
      <c r="S20" s="67">
        <f t="shared" si="1"/>
        <v>198143.20000000013</v>
      </c>
      <c r="T20" s="67">
        <v>565309.9</v>
      </c>
      <c r="U20" s="67">
        <f t="shared" si="2"/>
        <v>2.8530370964030056</v>
      </c>
    </row>
    <row r="21" spans="1:21" s="75" customFormat="1" ht="15.75" hidden="1">
      <c r="A21" s="100" t="s">
        <v>104</v>
      </c>
      <c r="B21" s="67">
        <v>155835.2</v>
      </c>
      <c r="C21" s="67">
        <v>47450.5</v>
      </c>
      <c r="D21" s="67">
        <v>2738.884497</v>
      </c>
      <c r="E21" s="67">
        <v>1428</v>
      </c>
      <c r="F21" s="67">
        <v>3735.6</v>
      </c>
      <c r="G21" s="67">
        <v>28.6</v>
      </c>
      <c r="H21" s="69">
        <v>422.0155030000001</v>
      </c>
      <c r="I21" s="67">
        <f t="shared" si="0"/>
        <v>211638.80000000002</v>
      </c>
      <c r="J21" s="76">
        <v>141613.59999999998</v>
      </c>
      <c r="K21" s="67">
        <v>150905.3</v>
      </c>
      <c r="L21" s="68" t="s">
        <v>43</v>
      </c>
      <c r="M21" s="67">
        <v>380.9</v>
      </c>
      <c r="N21" s="67">
        <v>20</v>
      </c>
      <c r="O21" s="71" t="s">
        <v>43</v>
      </c>
      <c r="P21" s="72">
        <v>4671.999999999999</v>
      </c>
      <c r="Q21" s="73">
        <v>-7000</v>
      </c>
      <c r="R21" s="74">
        <v>-78953</v>
      </c>
      <c r="S21" s="67">
        <f t="shared" si="1"/>
        <v>211638.79999999996</v>
      </c>
      <c r="T21" s="67">
        <v>706363.915503</v>
      </c>
      <c r="U21" s="67">
        <f t="shared" si="2"/>
        <v>3.3375917624887306</v>
      </c>
    </row>
    <row r="22" spans="1:21" s="75" customFormat="1" ht="18" hidden="1">
      <c r="A22" s="101" t="s">
        <v>105</v>
      </c>
      <c r="B22" s="67">
        <v>170106</v>
      </c>
      <c r="C22" s="67">
        <v>34979.700000000004</v>
      </c>
      <c r="D22" s="67">
        <v>500</v>
      </c>
      <c r="E22" s="67">
        <v>278</v>
      </c>
      <c r="F22" s="67">
        <v>5041.499999999998</v>
      </c>
      <c r="G22" s="67">
        <v>23.6</v>
      </c>
      <c r="H22" s="69">
        <v>397.3</v>
      </c>
      <c r="I22" s="67">
        <f t="shared" si="0"/>
        <v>211326.1</v>
      </c>
      <c r="J22" s="76">
        <v>82293.99999999994</v>
      </c>
      <c r="K22" s="67">
        <v>211644.80000000005</v>
      </c>
      <c r="L22" s="67">
        <v>25301.3</v>
      </c>
      <c r="M22" s="67">
        <v>380.9</v>
      </c>
      <c r="N22" s="67">
        <v>20</v>
      </c>
      <c r="O22" s="71" t="s">
        <v>43</v>
      </c>
      <c r="P22" s="72">
        <v>6184.2</v>
      </c>
      <c r="Q22" s="68" t="s">
        <v>43</v>
      </c>
      <c r="R22" s="74">
        <v>-114499.1</v>
      </c>
      <c r="S22" s="67">
        <f t="shared" si="1"/>
        <v>211326.09999999998</v>
      </c>
      <c r="T22" s="67">
        <v>755801.5666666665</v>
      </c>
      <c r="U22" s="67">
        <f t="shared" si="2"/>
        <v>3.576470519574565</v>
      </c>
    </row>
    <row r="23" spans="1:21" s="75" customFormat="1" ht="15.75" hidden="1">
      <c r="A23" s="101" t="s">
        <v>97</v>
      </c>
      <c r="B23" s="67">
        <v>198246.9</v>
      </c>
      <c r="C23" s="67">
        <v>39879.9</v>
      </c>
      <c r="D23" s="67">
        <v>22413.6</v>
      </c>
      <c r="E23" s="67">
        <v>2827.5</v>
      </c>
      <c r="F23" s="67">
        <v>3234.3</v>
      </c>
      <c r="G23" s="67">
        <v>14.5</v>
      </c>
      <c r="H23" s="69">
        <v>669.4</v>
      </c>
      <c r="I23" s="67">
        <f t="shared" si="0"/>
        <v>267286.1</v>
      </c>
      <c r="J23" s="76">
        <v>66928.90000000002</v>
      </c>
      <c r="K23" s="67">
        <v>285507.4</v>
      </c>
      <c r="L23" s="68" t="s">
        <v>43</v>
      </c>
      <c r="M23" s="68" t="s">
        <v>43</v>
      </c>
      <c r="N23" s="67">
        <v>20</v>
      </c>
      <c r="O23" s="116" t="s">
        <v>43</v>
      </c>
      <c r="P23" s="72">
        <v>8125.5</v>
      </c>
      <c r="Q23" s="73">
        <v>-6800</v>
      </c>
      <c r="R23" s="74">
        <v>-86495.70000000001</v>
      </c>
      <c r="S23" s="67">
        <f t="shared" si="1"/>
        <v>267286.10000000003</v>
      </c>
      <c r="T23" s="67">
        <v>877253.3</v>
      </c>
      <c r="U23" s="67">
        <f t="shared" si="2"/>
        <v>3.2820760226588668</v>
      </c>
    </row>
    <row r="24" spans="1:21" s="75" customFormat="1" ht="15.75" hidden="1">
      <c r="A24" s="101" t="s">
        <v>107</v>
      </c>
      <c r="B24" s="67">
        <v>211683.7</v>
      </c>
      <c r="C24" s="67">
        <v>82710.8</v>
      </c>
      <c r="D24" s="67">
        <v>5135.8</v>
      </c>
      <c r="E24" s="67">
        <v>2674</v>
      </c>
      <c r="F24" s="67">
        <v>3566.2</v>
      </c>
      <c r="G24" s="67">
        <v>28</v>
      </c>
      <c r="H24" s="69">
        <v>787.6</v>
      </c>
      <c r="I24" s="67">
        <f t="shared" si="0"/>
        <v>306586.10000000003</v>
      </c>
      <c r="J24" s="76">
        <v>118133.79999999999</v>
      </c>
      <c r="K24" s="67">
        <v>229473.99999999997</v>
      </c>
      <c r="L24" s="68" t="s">
        <v>43</v>
      </c>
      <c r="M24" s="68" t="s">
        <v>43</v>
      </c>
      <c r="N24" s="67">
        <v>20</v>
      </c>
      <c r="O24" s="116" t="s">
        <v>43</v>
      </c>
      <c r="P24" s="72">
        <v>10118.699999999999</v>
      </c>
      <c r="Q24" s="68" t="s">
        <v>43</v>
      </c>
      <c r="R24" s="74">
        <v>-51160.40000000001</v>
      </c>
      <c r="S24" s="67">
        <f t="shared" si="1"/>
        <v>306586.1</v>
      </c>
      <c r="T24" s="67">
        <v>986748.8</v>
      </c>
      <c r="U24" s="67">
        <f t="shared" si="2"/>
        <v>3.218504687590207</v>
      </c>
    </row>
    <row r="25" spans="1:21" s="75" customFormat="1" ht="15.75" hidden="1">
      <c r="A25" s="101" t="s">
        <v>130</v>
      </c>
      <c r="B25" s="67">
        <v>227340.9</v>
      </c>
      <c r="C25" s="67">
        <v>120095.4</v>
      </c>
      <c r="D25" s="67">
        <v>1035.1</v>
      </c>
      <c r="E25" s="67">
        <v>1624.7</v>
      </c>
      <c r="F25" s="67">
        <v>3555.9</v>
      </c>
      <c r="G25" s="67">
        <v>22.9</v>
      </c>
      <c r="H25" s="69">
        <v>1326.1</v>
      </c>
      <c r="I25" s="67">
        <v>355001</v>
      </c>
      <c r="J25" s="76">
        <v>128675.9</v>
      </c>
      <c r="K25" s="67">
        <v>263591.1</v>
      </c>
      <c r="L25" s="68">
        <v>0</v>
      </c>
      <c r="M25" s="68">
        <v>2000</v>
      </c>
      <c r="N25" s="67">
        <v>20</v>
      </c>
      <c r="O25" s="116" t="s">
        <v>43</v>
      </c>
      <c r="P25" s="72">
        <v>12103.3</v>
      </c>
      <c r="Q25" s="68" t="s">
        <v>43</v>
      </c>
      <c r="R25" s="93">
        <v>-51389.29999999999</v>
      </c>
      <c r="S25" s="67">
        <v>355001</v>
      </c>
      <c r="T25" s="67">
        <v>1107089.4000000001</v>
      </c>
      <c r="U25" s="67">
        <v>3.1055363224328953</v>
      </c>
    </row>
    <row r="26" spans="1:21" s="75" customFormat="1" ht="15.75">
      <c r="A26" s="101" t="s">
        <v>138</v>
      </c>
      <c r="B26" s="67">
        <v>230723.7</v>
      </c>
      <c r="C26" s="67">
        <v>84351</v>
      </c>
      <c r="D26" s="67">
        <v>1611</v>
      </c>
      <c r="E26" s="67">
        <v>2209.5</v>
      </c>
      <c r="F26" s="67">
        <v>4368.5</v>
      </c>
      <c r="G26" s="67">
        <v>44.5</v>
      </c>
      <c r="H26" s="69">
        <v>1200</v>
      </c>
      <c r="I26" s="67">
        <v>324508.2</v>
      </c>
      <c r="J26" s="76">
        <v>-132985.6</v>
      </c>
      <c r="K26" s="67">
        <v>452581.6</v>
      </c>
      <c r="L26" s="68">
        <v>19800</v>
      </c>
      <c r="M26" s="68">
        <v>2000</v>
      </c>
      <c r="N26" s="67">
        <v>20</v>
      </c>
      <c r="O26" s="116" t="s">
        <v>43</v>
      </c>
      <c r="P26" s="72">
        <v>14933.9</v>
      </c>
      <c r="Q26" s="68" t="s">
        <v>43</v>
      </c>
      <c r="R26" s="93">
        <v>-31841.69999999999</v>
      </c>
      <c r="S26" s="67">
        <v>324508.19999999995</v>
      </c>
      <c r="T26" s="67">
        <v>1106380</v>
      </c>
      <c r="U26" s="67">
        <v>3.393121653012158</v>
      </c>
    </row>
    <row r="27" spans="1:21" s="75" customFormat="1" ht="15.75">
      <c r="A27" s="101" t="s">
        <v>157</v>
      </c>
      <c r="B27" s="67">
        <v>267512.5</v>
      </c>
      <c r="C27" s="67">
        <v>134302.8</v>
      </c>
      <c r="D27" s="67">
        <v>5995.8</v>
      </c>
      <c r="E27" s="67">
        <v>3575.7</v>
      </c>
      <c r="F27" s="67">
        <v>6509.8</v>
      </c>
      <c r="G27" s="67">
        <v>7.7</v>
      </c>
      <c r="H27" s="69">
        <v>1319.7</v>
      </c>
      <c r="I27" s="67">
        <f>H27+F27+E27+C27+B27+G27+D27</f>
        <v>419224</v>
      </c>
      <c r="J27" s="76">
        <f>165236.3+1198.4-328508.5</f>
        <v>-162073.80000000002</v>
      </c>
      <c r="K27" s="67">
        <f>752299.8-243073.6</f>
        <v>509226.20000000007</v>
      </c>
      <c r="L27" s="68">
        <v>87000</v>
      </c>
      <c r="M27" s="68">
        <v>2000</v>
      </c>
      <c r="N27" s="67">
        <v>20</v>
      </c>
      <c r="O27" s="116"/>
      <c r="P27" s="72">
        <v>15731</v>
      </c>
      <c r="Q27" s="68" t="s">
        <v>43</v>
      </c>
      <c r="R27" s="93">
        <f>83.3+887.8+84074.1-1198.4-12385-1350.6-97088.3-5702.3</f>
        <v>-32679.39999999999</v>
      </c>
      <c r="S27" s="67">
        <f>R27+Q27+P27+N27+M27+L27+K27+J27+O27</f>
        <v>419224</v>
      </c>
      <c r="T27" s="67">
        <v>1187101.8</v>
      </c>
      <c r="U27" s="67">
        <f>T27/I27</f>
        <v>2.8316646947693838</v>
      </c>
    </row>
    <row r="28" spans="1:21" s="75" customFormat="1" ht="15.75">
      <c r="A28" s="101" t="s">
        <v>168</v>
      </c>
      <c r="B28" s="74">
        <v>308146.3</v>
      </c>
      <c r="C28" s="127">
        <v>221165.7</v>
      </c>
      <c r="D28" s="74">
        <v>2688.4</v>
      </c>
      <c r="E28" s="74">
        <v>2169.6</v>
      </c>
      <c r="F28" s="74">
        <v>18092.1</v>
      </c>
      <c r="G28" s="67">
        <v>20</v>
      </c>
      <c r="H28" s="126">
        <v>28588.8</v>
      </c>
      <c r="I28" s="67">
        <v>580870.9</v>
      </c>
      <c r="J28" s="76">
        <v>-144480.39999999997</v>
      </c>
      <c r="K28" s="67">
        <v>528460.3999999999</v>
      </c>
      <c r="L28" s="68">
        <v>159990</v>
      </c>
      <c r="M28" s="68">
        <v>0</v>
      </c>
      <c r="N28" s="67">
        <v>20</v>
      </c>
      <c r="O28" s="116"/>
      <c r="P28" s="72">
        <v>22686.1</v>
      </c>
      <c r="Q28" s="68" t="s">
        <v>43</v>
      </c>
      <c r="R28" s="93">
        <v>14194.800000000032</v>
      </c>
      <c r="S28" s="67">
        <v>580870.8999999999</v>
      </c>
      <c r="T28" s="67">
        <v>1499512.9000000001</v>
      </c>
      <c r="U28" s="67">
        <v>2.581490826963444</v>
      </c>
    </row>
    <row r="29" spans="1:21" s="75" customFormat="1" ht="15.75">
      <c r="A29" s="101" t="s">
        <v>181</v>
      </c>
      <c r="B29" s="74">
        <v>350207.6</v>
      </c>
      <c r="C29" s="127">
        <v>166378.19999999998</v>
      </c>
      <c r="D29" s="74">
        <v>4497.5</v>
      </c>
      <c r="E29" s="74">
        <v>3538.7999999999997</v>
      </c>
      <c r="F29" s="74">
        <v>9097.099999999999</v>
      </c>
      <c r="G29" s="67">
        <v>17.8</v>
      </c>
      <c r="H29" s="126">
        <v>31091.8</v>
      </c>
      <c r="I29" s="67">
        <v>564828.8</v>
      </c>
      <c r="J29" s="76">
        <v>-165217.1</v>
      </c>
      <c r="K29" s="67">
        <v>441299.1</v>
      </c>
      <c r="L29" s="68">
        <v>248180</v>
      </c>
      <c r="M29" s="68">
        <v>0</v>
      </c>
      <c r="N29" s="67">
        <v>20</v>
      </c>
      <c r="O29" s="116"/>
      <c r="P29" s="72">
        <v>24119.000000000004</v>
      </c>
      <c r="Q29" s="68" t="s">
        <v>43</v>
      </c>
      <c r="R29" s="93">
        <v>16427.800000000032</v>
      </c>
      <c r="S29" s="67">
        <v>564828.8</v>
      </c>
      <c r="T29" s="67">
        <v>1797468.9</v>
      </c>
      <c r="U29" s="67">
        <v>3.190026960381623</v>
      </c>
    </row>
    <row r="30" spans="1:21" s="75" customFormat="1" ht="17.25" customHeight="1">
      <c r="A30" s="101" t="s">
        <v>219</v>
      </c>
      <c r="B30" s="74">
        <v>414814.9</v>
      </c>
      <c r="C30" s="127">
        <v>208123.19999999998</v>
      </c>
      <c r="D30" s="74">
        <v>22962.1</v>
      </c>
      <c r="E30" s="74">
        <v>4340</v>
      </c>
      <c r="F30" s="74">
        <v>5405</v>
      </c>
      <c r="G30" s="67">
        <v>1.2</v>
      </c>
      <c r="H30" s="126">
        <f>40326.4+2178.8</f>
        <v>42505.200000000004</v>
      </c>
      <c r="I30" s="67">
        <f>H30+F30+E30+C30+B30+G30+D30</f>
        <v>698151.6</v>
      </c>
      <c r="J30" s="76">
        <f>235831.3+5935-371157</f>
        <v>-129390.70000000001</v>
      </c>
      <c r="K30" s="67">
        <f>746479.4-421651.4</f>
        <v>324828</v>
      </c>
      <c r="L30" s="68">
        <v>422379.9</v>
      </c>
      <c r="M30" s="68">
        <v>0</v>
      </c>
      <c r="N30" s="67">
        <v>20</v>
      </c>
      <c r="O30" s="116"/>
      <c r="P30" s="72">
        <v>24491.3</v>
      </c>
      <c r="Q30" s="68" t="s">
        <v>43</v>
      </c>
      <c r="R30" s="93">
        <f>199796.9+157.9+887.8-5935-59688.3-3847.6-132146.2+56597.6</f>
        <v>55823.09999999997</v>
      </c>
      <c r="S30" s="67">
        <f>R30+Q30+P30+N30+M30+L30+K30+J30+O30</f>
        <v>698151.6000000001</v>
      </c>
      <c r="T30" s="67">
        <v>2202774</v>
      </c>
      <c r="U30" s="67">
        <f>T30/I30</f>
        <v>3.155151402646646</v>
      </c>
    </row>
    <row r="31" spans="1:21" s="75" customFormat="1" ht="14.25" customHeight="1">
      <c r="A31" s="78"/>
      <c r="B31" s="67"/>
      <c r="C31" s="67"/>
      <c r="D31" s="67"/>
      <c r="E31" s="67"/>
      <c r="F31" s="67"/>
      <c r="G31" s="67"/>
      <c r="H31" s="69"/>
      <c r="I31" s="67"/>
      <c r="J31" s="76"/>
      <c r="K31" s="67"/>
      <c r="L31" s="67"/>
      <c r="M31" s="67"/>
      <c r="N31" s="67"/>
      <c r="O31" s="71"/>
      <c r="P31" s="72"/>
      <c r="Q31" s="67"/>
      <c r="R31" s="74"/>
      <c r="S31" s="32"/>
      <c r="T31" s="67"/>
      <c r="U31" s="67"/>
    </row>
    <row r="32" spans="1:21" s="75" customFormat="1" ht="14.25" customHeight="1" hidden="1">
      <c r="A32" s="99" t="s">
        <v>119</v>
      </c>
      <c r="B32" s="67">
        <v>189178.2</v>
      </c>
      <c r="C32" s="67">
        <v>45758.4</v>
      </c>
      <c r="D32" s="67">
        <v>9951.2</v>
      </c>
      <c r="E32" s="67">
        <v>2115</v>
      </c>
      <c r="F32" s="67">
        <v>5247.000000000001</v>
      </c>
      <c r="G32" s="67">
        <v>70.7</v>
      </c>
      <c r="H32" s="69">
        <v>298.6</v>
      </c>
      <c r="I32" s="67">
        <v>252619.10000000003</v>
      </c>
      <c r="J32" s="76">
        <v>48746.90000000008</v>
      </c>
      <c r="K32" s="67">
        <v>264998.8</v>
      </c>
      <c r="L32" s="67">
        <v>7592</v>
      </c>
      <c r="M32" s="68" t="s">
        <v>43</v>
      </c>
      <c r="N32" s="67">
        <v>20</v>
      </c>
      <c r="O32" s="116" t="s">
        <v>43</v>
      </c>
      <c r="P32" s="72">
        <v>8683.9</v>
      </c>
      <c r="Q32" s="68" t="s">
        <v>43</v>
      </c>
      <c r="R32" s="74">
        <v>-77422.5</v>
      </c>
      <c r="S32" s="67">
        <v>252619.10000000006</v>
      </c>
      <c r="T32" s="67">
        <v>893897.975</v>
      </c>
      <c r="U32" s="67">
        <v>3.413337708827242</v>
      </c>
    </row>
    <row r="33" spans="1:21" s="75" customFormat="1" ht="15.75" hidden="1">
      <c r="A33" s="102" t="s">
        <v>143</v>
      </c>
      <c r="B33" s="67">
        <v>205811.8</v>
      </c>
      <c r="C33" s="67">
        <v>56976.3</v>
      </c>
      <c r="D33" s="67">
        <v>7760.5</v>
      </c>
      <c r="E33" s="67">
        <v>2218.5</v>
      </c>
      <c r="F33" s="67">
        <v>7471.700000000001</v>
      </c>
      <c r="G33" s="67">
        <v>79.7</v>
      </c>
      <c r="H33" s="69">
        <v>271.5</v>
      </c>
      <c r="I33" s="67">
        <f>H33+F33+E33+C33+B33+G33+D33</f>
        <v>280590</v>
      </c>
      <c r="J33" s="76">
        <v>56965.40000000008</v>
      </c>
      <c r="K33" s="67">
        <v>273884.2</v>
      </c>
      <c r="L33" s="68" t="s">
        <v>43</v>
      </c>
      <c r="M33" s="68" t="s">
        <v>43</v>
      </c>
      <c r="N33" s="67">
        <v>20</v>
      </c>
      <c r="O33" s="71" t="s">
        <v>43</v>
      </c>
      <c r="P33" s="72">
        <v>9042.5</v>
      </c>
      <c r="Q33" s="68" t="s">
        <v>43</v>
      </c>
      <c r="R33" s="74">
        <v>-59322.100000000006</v>
      </c>
      <c r="S33" s="67">
        <f>R33+Q33+P33+N33+M33+L33+K33+J33+O33</f>
        <v>280590.0000000001</v>
      </c>
      <c r="T33" s="67">
        <v>927922.8499999996</v>
      </c>
      <c r="U33" s="67">
        <f>T33/I33</f>
        <v>3.3070417691293335</v>
      </c>
    </row>
    <row r="34" spans="1:21" s="75" customFormat="1" ht="15.75" hidden="1">
      <c r="A34" s="77" t="s">
        <v>133</v>
      </c>
      <c r="B34" s="67">
        <v>201031</v>
      </c>
      <c r="C34" s="67">
        <v>65670.9</v>
      </c>
      <c r="D34" s="67">
        <v>1516.7</v>
      </c>
      <c r="E34" s="67">
        <v>4193</v>
      </c>
      <c r="F34" s="67">
        <v>4666.1</v>
      </c>
      <c r="G34" s="67">
        <v>54.7</v>
      </c>
      <c r="H34" s="69">
        <v>280.2</v>
      </c>
      <c r="I34" s="67">
        <f>H34+F34+E34+C34+B34+G34+D34</f>
        <v>277412.60000000003</v>
      </c>
      <c r="J34" s="76">
        <v>78410.79999999999</v>
      </c>
      <c r="K34" s="67">
        <v>243601.6</v>
      </c>
      <c r="L34" s="67">
        <v>61.3</v>
      </c>
      <c r="M34" s="68" t="s">
        <v>43</v>
      </c>
      <c r="N34" s="67">
        <v>20</v>
      </c>
      <c r="O34" s="71" t="s">
        <v>43</v>
      </c>
      <c r="P34" s="72">
        <v>9872.8</v>
      </c>
      <c r="Q34" s="68" t="s">
        <v>43</v>
      </c>
      <c r="R34" s="74">
        <v>-54553.89999999999</v>
      </c>
      <c r="S34" s="67">
        <f>R34+Q34+P34+N34+M34+L34+K34+J34+O34</f>
        <v>277412.6</v>
      </c>
      <c r="T34" s="67">
        <v>956466.325</v>
      </c>
      <c r="U34" s="67">
        <f>T34/I34</f>
        <v>3.4478114007799205</v>
      </c>
    </row>
    <row r="35" spans="1:21" s="75" customFormat="1" ht="15.75" hidden="1">
      <c r="A35" s="77" t="s">
        <v>136</v>
      </c>
      <c r="B35" s="67">
        <v>211683.7</v>
      </c>
      <c r="C35" s="67">
        <v>82710.8</v>
      </c>
      <c r="D35" s="67">
        <v>5135.8</v>
      </c>
      <c r="E35" s="67">
        <v>2674</v>
      </c>
      <c r="F35" s="67">
        <v>3566.2</v>
      </c>
      <c r="G35" s="67">
        <v>28</v>
      </c>
      <c r="H35" s="69">
        <v>787.6</v>
      </c>
      <c r="I35" s="67">
        <f>H35+F35+E35+C35+B35+G35+D35</f>
        <v>306586.10000000003</v>
      </c>
      <c r="J35" s="76">
        <v>118133.79999999999</v>
      </c>
      <c r="K35" s="67">
        <v>229473.99999999997</v>
      </c>
      <c r="L35" s="68" t="s">
        <v>43</v>
      </c>
      <c r="M35" s="68" t="s">
        <v>43</v>
      </c>
      <c r="N35" s="67">
        <v>20</v>
      </c>
      <c r="O35" s="71" t="s">
        <v>43</v>
      </c>
      <c r="P35" s="72">
        <v>10118.699999999999</v>
      </c>
      <c r="Q35" s="68" t="s">
        <v>43</v>
      </c>
      <c r="R35" s="74">
        <v>-51160.40000000001</v>
      </c>
      <c r="S35" s="67">
        <f>R35+Q35+P35+N35+M35+L35+K35+J35+O35</f>
        <v>306586.1</v>
      </c>
      <c r="T35" s="67">
        <v>986748.8</v>
      </c>
      <c r="U35" s="67">
        <f>T35/I35</f>
        <v>3.218504687590207</v>
      </c>
    </row>
    <row r="36" spans="1:21" s="75" customFormat="1" ht="15.75" hidden="1">
      <c r="A36" s="77"/>
      <c r="B36" s="67"/>
      <c r="C36" s="67"/>
      <c r="D36" s="67"/>
      <c r="E36" s="67"/>
      <c r="F36" s="67"/>
      <c r="G36" s="67"/>
      <c r="H36" s="69"/>
      <c r="I36" s="67"/>
      <c r="J36" s="76"/>
      <c r="K36" s="67"/>
      <c r="L36" s="68"/>
      <c r="M36" s="68"/>
      <c r="N36" s="67"/>
      <c r="O36" s="71"/>
      <c r="P36" s="72"/>
      <c r="Q36" s="68"/>
      <c r="R36" s="74"/>
      <c r="S36" s="67"/>
      <c r="T36" s="67"/>
      <c r="U36" s="67"/>
    </row>
    <row r="37" spans="1:21" s="75" customFormat="1" ht="15.75" hidden="1">
      <c r="A37" s="99" t="s">
        <v>131</v>
      </c>
      <c r="B37" s="67">
        <v>201300.8</v>
      </c>
      <c r="C37" s="67">
        <v>70896.4</v>
      </c>
      <c r="D37" s="67">
        <v>426.9</v>
      </c>
      <c r="E37" s="67">
        <v>1135.9</v>
      </c>
      <c r="F37" s="67">
        <v>1041.5</v>
      </c>
      <c r="G37" s="67">
        <v>24.6</v>
      </c>
      <c r="H37" s="69">
        <v>1373.4</v>
      </c>
      <c r="I37" s="67">
        <v>276199.5</v>
      </c>
      <c r="J37" s="76">
        <v>95018.6</v>
      </c>
      <c r="K37" s="67">
        <v>243395.1</v>
      </c>
      <c r="L37" s="68">
        <v>325.1</v>
      </c>
      <c r="M37" s="68">
        <v>1914.8</v>
      </c>
      <c r="N37" s="67">
        <v>20</v>
      </c>
      <c r="O37" s="116" t="s">
        <v>43</v>
      </c>
      <c r="P37" s="72">
        <v>11758.1</v>
      </c>
      <c r="Q37" s="74">
        <v>-27200</v>
      </c>
      <c r="R37" s="93">
        <v>-49032.20000000001</v>
      </c>
      <c r="S37" s="67">
        <v>276199.5</v>
      </c>
      <c r="T37" s="67">
        <v>988233.8499999999</v>
      </c>
      <c r="U37" s="67">
        <v>3.5649070689845557</v>
      </c>
    </row>
    <row r="38" spans="1:21" s="75" customFormat="1" ht="15.75" hidden="1">
      <c r="A38" s="102" t="s">
        <v>118</v>
      </c>
      <c r="B38" s="67">
        <v>223781.8</v>
      </c>
      <c r="C38" s="67">
        <v>100650</v>
      </c>
      <c r="D38" s="67">
        <v>1428.4</v>
      </c>
      <c r="E38" s="67">
        <v>1303.5</v>
      </c>
      <c r="F38" s="67">
        <v>6385</v>
      </c>
      <c r="G38" s="67">
        <v>20.2</v>
      </c>
      <c r="H38" s="69">
        <v>1329.6</v>
      </c>
      <c r="I38" s="67">
        <v>334898.50000000006</v>
      </c>
      <c r="J38" s="76">
        <v>89071.50000000003</v>
      </c>
      <c r="K38" s="67">
        <v>282645.39999999997</v>
      </c>
      <c r="L38" s="68"/>
      <c r="M38" s="68">
        <v>1914.8</v>
      </c>
      <c r="N38" s="67">
        <v>20</v>
      </c>
      <c r="O38" s="116" t="s">
        <v>43</v>
      </c>
      <c r="P38" s="72">
        <v>12500.7</v>
      </c>
      <c r="Q38" s="68" t="s">
        <v>43</v>
      </c>
      <c r="R38" s="93">
        <v>-51253.90000000001</v>
      </c>
      <c r="S38" s="67">
        <v>334898.5</v>
      </c>
      <c r="T38" s="67">
        <v>1050599.4</v>
      </c>
      <c r="U38" s="67">
        <v>3.126209284305543</v>
      </c>
    </row>
    <row r="39" spans="1:21" s="75" customFormat="1" ht="15.75" hidden="1">
      <c r="A39" s="102" t="s">
        <v>147</v>
      </c>
      <c r="B39" s="67">
        <v>222708</v>
      </c>
      <c r="C39" s="67">
        <v>80783.1</v>
      </c>
      <c r="D39" s="67">
        <v>631.5</v>
      </c>
      <c r="E39" s="67">
        <v>2407.5</v>
      </c>
      <c r="F39" s="67">
        <v>2153.6</v>
      </c>
      <c r="G39" s="67">
        <v>23.3</v>
      </c>
      <c r="H39" s="69">
        <v>969.1</v>
      </c>
      <c r="I39" s="67">
        <v>309676.1</v>
      </c>
      <c r="J39" s="76">
        <v>142837.30000000002</v>
      </c>
      <c r="K39" s="67">
        <v>195393.90000000002</v>
      </c>
      <c r="L39" s="68">
        <v>231.9000000000001</v>
      </c>
      <c r="M39" s="68">
        <v>2000</v>
      </c>
      <c r="N39" s="67">
        <v>20</v>
      </c>
      <c r="O39" s="116" t="s">
        <v>43</v>
      </c>
      <c r="P39" s="72">
        <v>12409.6</v>
      </c>
      <c r="Q39" s="68" t="s">
        <v>43</v>
      </c>
      <c r="R39" s="93">
        <v>-43216.6</v>
      </c>
      <c r="S39" s="67">
        <v>309676.10000000003</v>
      </c>
      <c r="T39" s="67">
        <v>1052584.2055555554</v>
      </c>
      <c r="U39" s="67">
        <v>3.3856518328523113</v>
      </c>
    </row>
    <row r="40" spans="1:21" s="75" customFormat="1" ht="15.75" hidden="1">
      <c r="A40" s="102" t="s">
        <v>150</v>
      </c>
      <c r="B40" s="67">
        <v>227340.9</v>
      </c>
      <c r="C40" s="67">
        <v>120095.4</v>
      </c>
      <c r="D40" s="67">
        <v>1035.1</v>
      </c>
      <c r="E40" s="67">
        <v>1624.7</v>
      </c>
      <c r="F40" s="67">
        <v>3555.9</v>
      </c>
      <c r="G40" s="67">
        <v>22.9</v>
      </c>
      <c r="H40" s="69">
        <v>1326.1</v>
      </c>
      <c r="I40" s="67">
        <v>355001</v>
      </c>
      <c r="J40" s="76">
        <v>128675.9</v>
      </c>
      <c r="K40" s="67">
        <v>263591.1</v>
      </c>
      <c r="L40" s="68">
        <v>0</v>
      </c>
      <c r="M40" s="68">
        <v>2000</v>
      </c>
      <c r="N40" s="67">
        <v>20</v>
      </c>
      <c r="O40" s="116" t="s">
        <v>43</v>
      </c>
      <c r="P40" s="72">
        <v>12103.3</v>
      </c>
      <c r="Q40" s="68" t="s">
        <v>43</v>
      </c>
      <c r="R40" s="93">
        <v>-51389.29999999999</v>
      </c>
      <c r="S40" s="67">
        <v>355001</v>
      </c>
      <c r="T40" s="67">
        <v>1107089.4000000001</v>
      </c>
      <c r="U40" s="67">
        <v>3.1055363224328953</v>
      </c>
    </row>
    <row r="41" spans="1:21" s="75" customFormat="1" ht="15.75" hidden="1">
      <c r="A41" s="102"/>
      <c r="B41" s="67"/>
      <c r="C41" s="67"/>
      <c r="D41" s="67"/>
      <c r="E41" s="67"/>
      <c r="F41" s="67"/>
      <c r="G41" s="67"/>
      <c r="H41" s="69"/>
      <c r="I41" s="67"/>
      <c r="J41" s="76"/>
      <c r="K41" s="67"/>
      <c r="L41" s="68"/>
      <c r="M41" s="68"/>
      <c r="N41" s="67"/>
      <c r="O41" s="116"/>
      <c r="P41" s="72"/>
      <c r="Q41" s="68"/>
      <c r="R41" s="93"/>
      <c r="S41" s="67"/>
      <c r="T41" s="67"/>
      <c r="U41" s="67"/>
    </row>
    <row r="42" spans="1:21" s="75" customFormat="1" ht="15.75" hidden="1">
      <c r="A42" s="99" t="s">
        <v>139</v>
      </c>
      <c r="B42" s="67">
        <v>223176.6</v>
      </c>
      <c r="C42" s="67">
        <v>71767.6</v>
      </c>
      <c r="D42" s="67">
        <v>1593.8</v>
      </c>
      <c r="E42" s="67">
        <v>1878.3</v>
      </c>
      <c r="F42" s="67">
        <v>4089.8</v>
      </c>
      <c r="G42" s="67">
        <v>47.4</v>
      </c>
      <c r="H42" s="69">
        <v>243.7</v>
      </c>
      <c r="I42" s="67">
        <v>302797.2</v>
      </c>
      <c r="J42" s="76">
        <v>115526.4</v>
      </c>
      <c r="K42" s="67">
        <v>215693.9</v>
      </c>
      <c r="L42" s="68">
        <v>1178.9</v>
      </c>
      <c r="M42" s="68">
        <v>2000</v>
      </c>
      <c r="N42" s="67">
        <v>20</v>
      </c>
      <c r="O42" s="116" t="s">
        <v>43</v>
      </c>
      <c r="P42" s="72">
        <v>12654.2</v>
      </c>
      <c r="Q42" s="68" t="s">
        <v>43</v>
      </c>
      <c r="R42" s="93">
        <v>-44276.2</v>
      </c>
      <c r="S42" s="67">
        <v>302797.19999999995</v>
      </c>
      <c r="T42" s="67">
        <v>1064238.65</v>
      </c>
      <c r="U42" s="67">
        <v>3.4993241350976825</v>
      </c>
    </row>
    <row r="43" spans="1:21" s="75" customFormat="1" ht="15.75" hidden="1">
      <c r="A43" s="102" t="s">
        <v>118</v>
      </c>
      <c r="B43" s="67">
        <v>254961.4</v>
      </c>
      <c r="C43" s="67">
        <v>63611.8</v>
      </c>
      <c r="D43" s="67">
        <v>9771.3</v>
      </c>
      <c r="E43" s="67">
        <v>2089.9</v>
      </c>
      <c r="F43" s="67">
        <v>3640.6</v>
      </c>
      <c r="G43" s="67">
        <v>62.4</v>
      </c>
      <c r="H43" s="69">
        <v>357.5</v>
      </c>
      <c r="I43" s="67">
        <v>334494.9</v>
      </c>
      <c r="J43" s="76">
        <v>11927.499999999976</v>
      </c>
      <c r="K43" s="67">
        <v>318199.6</v>
      </c>
      <c r="L43" s="68">
        <v>20000</v>
      </c>
      <c r="M43" s="68">
        <v>2000</v>
      </c>
      <c r="N43" s="67">
        <v>20</v>
      </c>
      <c r="O43" s="116" t="s">
        <v>43</v>
      </c>
      <c r="P43" s="72">
        <v>13128.8</v>
      </c>
      <c r="Q43" s="68" t="s">
        <v>43</v>
      </c>
      <c r="R43" s="93">
        <v>-30781.000000000015</v>
      </c>
      <c r="S43" s="67">
        <v>334494.89999999997</v>
      </c>
      <c r="T43" s="67">
        <v>1104077.7999999996</v>
      </c>
      <c r="U43" s="67">
        <v>3.286724251999057</v>
      </c>
    </row>
    <row r="44" spans="1:21" s="75" customFormat="1" ht="15.75" hidden="1">
      <c r="A44" s="102" t="s">
        <v>121</v>
      </c>
      <c r="B44" s="67">
        <v>216072.1</v>
      </c>
      <c r="C44" s="67">
        <v>79716.8</v>
      </c>
      <c r="D44" s="67">
        <v>5700.2</v>
      </c>
      <c r="E44" s="67">
        <v>3810.3</v>
      </c>
      <c r="F44" s="67">
        <v>8658</v>
      </c>
      <c r="G44" s="67">
        <v>33.1</v>
      </c>
      <c r="H44" s="69">
        <v>323.5</v>
      </c>
      <c r="I44" s="67">
        <v>314314</v>
      </c>
      <c r="J44" s="76">
        <v>-77050.1</v>
      </c>
      <c r="K44" s="67">
        <v>398227.1</v>
      </c>
      <c r="L44" s="68">
        <v>4840.3</v>
      </c>
      <c r="M44" s="68">
        <v>2000</v>
      </c>
      <c r="N44" s="67">
        <v>20</v>
      </c>
      <c r="O44" s="116" t="s">
        <v>43</v>
      </c>
      <c r="P44" s="72">
        <v>14713.9</v>
      </c>
      <c r="Q44" s="68" t="s">
        <v>43</v>
      </c>
      <c r="R44" s="93">
        <v>-28437.199999999997</v>
      </c>
      <c r="S44" s="67">
        <v>314314</v>
      </c>
      <c r="T44" s="67">
        <v>1107152.9944444443</v>
      </c>
      <c r="U44" s="67">
        <v>3.506583367092921</v>
      </c>
    </row>
    <row r="45" spans="1:21" s="75" customFormat="1" ht="15.75" hidden="1">
      <c r="A45" s="102" t="s">
        <v>122</v>
      </c>
      <c r="B45" s="67">
        <v>230723.7</v>
      </c>
      <c r="C45" s="67">
        <v>84351</v>
      </c>
      <c r="D45" s="67">
        <v>1611</v>
      </c>
      <c r="E45" s="67">
        <v>2209.5</v>
      </c>
      <c r="F45" s="67">
        <v>4368.5</v>
      </c>
      <c r="G45" s="67">
        <v>44.5</v>
      </c>
      <c r="H45" s="69">
        <v>1200</v>
      </c>
      <c r="I45" s="67">
        <v>324508.2</v>
      </c>
      <c r="J45" s="76">
        <v>-132985.6</v>
      </c>
      <c r="K45" s="67">
        <v>452581.6</v>
      </c>
      <c r="L45" s="68">
        <v>19800</v>
      </c>
      <c r="M45" s="68">
        <v>2000</v>
      </c>
      <c r="N45" s="67">
        <v>20</v>
      </c>
      <c r="O45" s="116" t="s">
        <v>43</v>
      </c>
      <c r="P45" s="72">
        <v>14933.9</v>
      </c>
      <c r="Q45" s="68" t="s">
        <v>43</v>
      </c>
      <c r="R45" s="93">
        <v>-31841.69999999999</v>
      </c>
      <c r="S45" s="67">
        <v>324508.19999999995</v>
      </c>
      <c r="T45" s="67">
        <v>1106380</v>
      </c>
      <c r="U45" s="67">
        <v>3.393121653012158</v>
      </c>
    </row>
    <row r="46" spans="1:21" s="75" customFormat="1" ht="15.75" hidden="1">
      <c r="A46" s="102"/>
      <c r="B46" s="67"/>
      <c r="C46" s="67"/>
      <c r="D46" s="67"/>
      <c r="E46" s="67"/>
      <c r="F46" s="67"/>
      <c r="G46" s="67"/>
      <c r="H46" s="69"/>
      <c r="I46" s="67"/>
      <c r="J46" s="76"/>
      <c r="K46" s="67"/>
      <c r="L46" s="68"/>
      <c r="M46" s="68"/>
      <c r="N46" s="67"/>
      <c r="O46" s="71"/>
      <c r="P46" s="72"/>
      <c r="Q46" s="68"/>
      <c r="R46" s="93"/>
      <c r="S46" s="67"/>
      <c r="T46" s="67"/>
      <c r="U46" s="67"/>
    </row>
    <row r="47" spans="1:21" s="75" customFormat="1" ht="15.75" hidden="1">
      <c r="A47" s="101" t="s">
        <v>145</v>
      </c>
      <c r="B47" s="67">
        <v>219964.2</v>
      </c>
      <c r="C47" s="67">
        <v>94301.6</v>
      </c>
      <c r="D47" s="67">
        <v>2510.7</v>
      </c>
      <c r="E47" s="67">
        <v>2734.9</v>
      </c>
      <c r="F47" s="67">
        <v>2813.9</v>
      </c>
      <c r="G47" s="67">
        <v>26.4</v>
      </c>
      <c r="H47" s="69">
        <v>910.3</v>
      </c>
      <c r="I47" s="67">
        <v>323262.00000000006</v>
      </c>
      <c r="J47" s="76">
        <v>-194954</v>
      </c>
      <c r="K47" s="67">
        <v>453694.6</v>
      </c>
      <c r="L47" s="68">
        <v>71850</v>
      </c>
      <c r="M47" s="68">
        <v>2000</v>
      </c>
      <c r="N47" s="67">
        <v>20</v>
      </c>
      <c r="O47" s="116" t="s">
        <v>43</v>
      </c>
      <c r="P47" s="72">
        <v>15893</v>
      </c>
      <c r="Q47" s="68" t="s">
        <v>43</v>
      </c>
      <c r="R47" s="93">
        <v>-25241.600000000006</v>
      </c>
      <c r="S47" s="67">
        <v>323262</v>
      </c>
      <c r="T47" s="67">
        <v>1079593.5999999999</v>
      </c>
      <c r="U47" s="67">
        <v>3.32368991715698</v>
      </c>
    </row>
    <row r="48" spans="1:21" s="75" customFormat="1" ht="15.75" hidden="1">
      <c r="A48" s="102" t="s">
        <v>118</v>
      </c>
      <c r="B48" s="67">
        <v>255415.5</v>
      </c>
      <c r="C48" s="67">
        <v>98845.3</v>
      </c>
      <c r="D48" s="67">
        <v>3186.6</v>
      </c>
      <c r="E48" s="67">
        <v>1740</v>
      </c>
      <c r="F48" s="67">
        <v>4307.5</v>
      </c>
      <c r="G48" s="67">
        <v>16.1</v>
      </c>
      <c r="H48" s="69">
        <v>557.9</v>
      </c>
      <c r="I48" s="67">
        <v>364068.89999999997</v>
      </c>
      <c r="J48" s="76">
        <v>-186003.4</v>
      </c>
      <c r="K48" s="67">
        <v>457106.39999999997</v>
      </c>
      <c r="L48" s="68">
        <v>101000</v>
      </c>
      <c r="M48" s="68">
        <v>2000</v>
      </c>
      <c r="N48" s="67">
        <v>20</v>
      </c>
      <c r="O48" s="116"/>
      <c r="P48" s="72">
        <v>16553.2</v>
      </c>
      <c r="Q48" s="68" t="s">
        <v>43</v>
      </c>
      <c r="R48" s="93">
        <v>-26607.29999999999</v>
      </c>
      <c r="S48" s="67">
        <v>364068.8999999999</v>
      </c>
      <c r="T48" s="67">
        <v>1122380.2999999998</v>
      </c>
      <c r="U48" s="67">
        <v>3.06898666708417</v>
      </c>
    </row>
    <row r="49" spans="1:21" s="75" customFormat="1" ht="15.75" hidden="1">
      <c r="A49" s="102" t="s">
        <v>121</v>
      </c>
      <c r="B49" s="67">
        <v>254499.1</v>
      </c>
      <c r="C49" s="67">
        <v>124775.9</v>
      </c>
      <c r="D49" s="67">
        <v>834</v>
      </c>
      <c r="E49" s="67">
        <v>3523.6</v>
      </c>
      <c r="F49" s="67">
        <v>4926.1</v>
      </c>
      <c r="G49" s="67">
        <v>3.6</v>
      </c>
      <c r="H49" s="69">
        <v>1138.3</v>
      </c>
      <c r="I49" s="67">
        <v>389700.6</v>
      </c>
      <c r="J49" s="76">
        <v>-181601</v>
      </c>
      <c r="K49" s="67">
        <v>457923.6</v>
      </c>
      <c r="L49" s="68">
        <v>118705</v>
      </c>
      <c r="M49" s="68">
        <v>2000</v>
      </c>
      <c r="N49" s="67">
        <v>20</v>
      </c>
      <c r="O49" s="116"/>
      <c r="P49" s="72">
        <v>16291.4</v>
      </c>
      <c r="Q49" s="68" t="s">
        <v>43</v>
      </c>
      <c r="R49" s="93">
        <v>-23638.40000000001</v>
      </c>
      <c r="S49" s="67">
        <v>389700.6</v>
      </c>
      <c r="T49" s="67">
        <v>1136853.5</v>
      </c>
      <c r="U49" s="67">
        <v>2.9016723351208595</v>
      </c>
    </row>
    <row r="50" spans="1:21" s="75" customFormat="1" ht="15.75" hidden="1">
      <c r="A50" s="102" t="s">
        <v>122</v>
      </c>
      <c r="B50" s="67">
        <v>267512.5</v>
      </c>
      <c r="C50" s="67">
        <v>134302.8</v>
      </c>
      <c r="D50" s="67">
        <v>5995.8</v>
      </c>
      <c r="E50" s="67">
        <v>3575.7</v>
      </c>
      <c r="F50" s="67">
        <v>6509.8</v>
      </c>
      <c r="G50" s="67">
        <v>7.7</v>
      </c>
      <c r="H50" s="69">
        <v>1319.7</v>
      </c>
      <c r="I50" s="67">
        <v>419224</v>
      </c>
      <c r="J50" s="76">
        <v>-162073.80000000002</v>
      </c>
      <c r="K50" s="67">
        <v>509226.20000000007</v>
      </c>
      <c r="L50" s="68">
        <v>87000</v>
      </c>
      <c r="M50" s="68">
        <v>2000</v>
      </c>
      <c r="N50" s="67">
        <v>20</v>
      </c>
      <c r="O50" s="116"/>
      <c r="P50" s="72">
        <v>15731</v>
      </c>
      <c r="Q50" s="68" t="s">
        <v>43</v>
      </c>
      <c r="R50" s="93">
        <v>-32679.39999999999</v>
      </c>
      <c r="S50" s="67">
        <v>419224</v>
      </c>
      <c r="T50" s="67">
        <v>1187101.8</v>
      </c>
      <c r="U50" s="67">
        <v>2.814770623819247</v>
      </c>
    </row>
    <row r="51" spans="1:21" s="75" customFormat="1" ht="15.75">
      <c r="A51" s="102"/>
      <c r="B51" s="67"/>
      <c r="C51" s="67"/>
      <c r="D51" s="67"/>
      <c r="E51" s="67"/>
      <c r="F51" s="67"/>
      <c r="G51" s="67"/>
      <c r="H51" s="69"/>
      <c r="I51" s="67"/>
      <c r="J51" s="76"/>
      <c r="K51" s="67"/>
      <c r="L51" s="68"/>
      <c r="M51" s="68"/>
      <c r="N51" s="67"/>
      <c r="O51" s="116"/>
      <c r="P51" s="72"/>
      <c r="Q51" s="68"/>
      <c r="R51" s="93"/>
      <c r="S51" s="67"/>
      <c r="T51" s="67"/>
      <c r="U51" s="67"/>
    </row>
    <row r="52" spans="1:21" s="75" customFormat="1" ht="15.75">
      <c r="A52" s="102" t="s">
        <v>164</v>
      </c>
      <c r="B52" s="67">
        <v>267562.4</v>
      </c>
      <c r="C52" s="67">
        <v>167615</v>
      </c>
      <c r="D52" s="67">
        <v>14379.7</v>
      </c>
      <c r="E52" s="67">
        <v>2634.1</v>
      </c>
      <c r="F52" s="67">
        <v>12223.899999999998</v>
      </c>
      <c r="G52" s="67">
        <v>157.1</v>
      </c>
      <c r="H52" s="69">
        <v>21755.6</v>
      </c>
      <c r="I52" s="67">
        <v>486327.8</v>
      </c>
      <c r="J52" s="76">
        <v>-133135.90000000002</v>
      </c>
      <c r="K52" s="67">
        <v>544205.1</v>
      </c>
      <c r="L52" s="68">
        <v>87840</v>
      </c>
      <c r="M52" s="68">
        <v>1000</v>
      </c>
      <c r="N52" s="67">
        <v>20</v>
      </c>
      <c r="O52" s="116"/>
      <c r="P52" s="72">
        <v>20527</v>
      </c>
      <c r="Q52" s="68" t="s">
        <v>43</v>
      </c>
      <c r="R52" s="93">
        <v>-34128.39999999999</v>
      </c>
      <c r="S52" s="67">
        <v>486327.79999999993</v>
      </c>
      <c r="T52" s="67">
        <v>1299479.7</v>
      </c>
      <c r="U52" s="67">
        <v>2.6720243013045932</v>
      </c>
    </row>
    <row r="53" spans="1:21" s="75" customFormat="1" ht="15.75">
      <c r="A53" s="102" t="s">
        <v>163</v>
      </c>
      <c r="B53" s="67">
        <v>301775.5</v>
      </c>
      <c r="C53" s="67">
        <v>101969.2</v>
      </c>
      <c r="D53" s="67">
        <v>12376</v>
      </c>
      <c r="E53" s="67">
        <v>2615.3999999999996</v>
      </c>
      <c r="F53" s="67">
        <v>17691.3</v>
      </c>
      <c r="G53" s="67">
        <v>11</v>
      </c>
      <c r="H53" s="69">
        <v>31187.100000000002</v>
      </c>
      <c r="I53" s="67">
        <v>467625.5</v>
      </c>
      <c r="J53" s="76">
        <v>-140476.99999999994</v>
      </c>
      <c r="K53" s="67">
        <v>542983.6000000001</v>
      </c>
      <c r="L53" s="68">
        <v>69737.5</v>
      </c>
      <c r="M53" s="68">
        <v>1000</v>
      </c>
      <c r="N53" s="67">
        <v>20</v>
      </c>
      <c r="O53" s="116"/>
      <c r="P53" s="72">
        <v>22527.9</v>
      </c>
      <c r="Q53" s="68" t="s">
        <v>43</v>
      </c>
      <c r="R53" s="93">
        <v>-28166.499999999993</v>
      </c>
      <c r="S53" s="67">
        <v>467625.5000000002</v>
      </c>
      <c r="T53" s="67">
        <v>1417053.1</v>
      </c>
      <c r="U53" s="67">
        <v>3.0303161397314735</v>
      </c>
    </row>
    <row r="54" spans="1:21" s="75" customFormat="1" ht="15.75">
      <c r="A54" s="102" t="s">
        <v>169</v>
      </c>
      <c r="B54" s="67">
        <v>297683.1</v>
      </c>
      <c r="C54" s="67">
        <v>156387.7</v>
      </c>
      <c r="D54" s="67">
        <v>9305.3</v>
      </c>
      <c r="E54" s="67">
        <v>2490.4</v>
      </c>
      <c r="F54" s="67">
        <v>25793.7</v>
      </c>
      <c r="G54" s="67">
        <v>6.3</v>
      </c>
      <c r="H54" s="69">
        <v>31699.3</v>
      </c>
      <c r="I54" s="67">
        <v>523365.79999999993</v>
      </c>
      <c r="J54" s="76">
        <v>-134023.80000000002</v>
      </c>
      <c r="K54" s="67">
        <v>509123.6</v>
      </c>
      <c r="L54" s="68">
        <v>123150</v>
      </c>
      <c r="M54" s="68">
        <v>0</v>
      </c>
      <c r="N54" s="67">
        <v>20</v>
      </c>
      <c r="O54" s="116"/>
      <c r="P54" s="72">
        <v>23325.1</v>
      </c>
      <c r="Q54" s="68" t="s">
        <v>43</v>
      </c>
      <c r="R54" s="93">
        <v>1770.9000000000028</v>
      </c>
      <c r="S54" s="67">
        <v>523365.79999999993</v>
      </c>
      <c r="T54" s="67">
        <v>1428077.7500000002</v>
      </c>
      <c r="U54" s="67">
        <v>2.728641707196</v>
      </c>
    </row>
    <row r="55" spans="1:21" s="75" customFormat="1" ht="15.75">
      <c r="A55" s="102" t="s">
        <v>170</v>
      </c>
      <c r="B55" s="74">
        <v>308146.3</v>
      </c>
      <c r="C55" s="127">
        <v>221165.7</v>
      </c>
      <c r="D55" s="74">
        <v>2688.4</v>
      </c>
      <c r="E55" s="74">
        <v>2169.6</v>
      </c>
      <c r="F55" s="74">
        <v>18092.1</v>
      </c>
      <c r="G55" s="67">
        <v>20</v>
      </c>
      <c r="H55" s="126">
        <v>28588.8</v>
      </c>
      <c r="I55" s="67">
        <v>580870.9</v>
      </c>
      <c r="J55" s="76">
        <v>-144480.39999999997</v>
      </c>
      <c r="K55" s="67">
        <v>528460.3999999999</v>
      </c>
      <c r="L55" s="68">
        <v>159990</v>
      </c>
      <c r="M55" s="68">
        <v>0</v>
      </c>
      <c r="N55" s="67">
        <v>20</v>
      </c>
      <c r="O55" s="116"/>
      <c r="P55" s="72">
        <v>22686.1</v>
      </c>
      <c r="Q55" s="68" t="s">
        <v>43</v>
      </c>
      <c r="R55" s="93">
        <v>14194.800000000032</v>
      </c>
      <c r="S55" s="67">
        <v>580870.8999999999</v>
      </c>
      <c r="T55" s="67">
        <v>1499512.9000000001</v>
      </c>
      <c r="U55" s="67">
        <v>2.581490826963444</v>
      </c>
    </row>
    <row r="56" spans="1:21" s="75" customFormat="1" ht="15.75">
      <c r="A56" s="102"/>
      <c r="B56" s="67"/>
      <c r="C56" s="67"/>
      <c r="D56" s="67"/>
      <c r="E56" s="67"/>
      <c r="F56" s="67"/>
      <c r="G56" s="67"/>
      <c r="H56" s="69"/>
      <c r="I56" s="67"/>
      <c r="J56" s="76"/>
      <c r="K56" s="67"/>
      <c r="L56" s="68"/>
      <c r="M56" s="68"/>
      <c r="N56" s="67"/>
      <c r="O56" s="116"/>
      <c r="P56" s="72"/>
      <c r="Q56" s="68"/>
      <c r="R56" s="93"/>
      <c r="S56" s="67"/>
      <c r="T56" s="67"/>
      <c r="U56" s="67"/>
    </row>
    <row r="57" spans="1:21" s="75" customFormat="1" ht="15.75">
      <c r="A57" s="102" t="s">
        <v>193</v>
      </c>
      <c r="B57" s="74">
        <v>302042.8</v>
      </c>
      <c r="C57" s="127">
        <v>151882.30000000002</v>
      </c>
      <c r="D57" s="74">
        <v>12465.900000000001</v>
      </c>
      <c r="E57" s="74">
        <v>1222.4</v>
      </c>
      <c r="F57" s="74">
        <v>18559.899999999998</v>
      </c>
      <c r="G57" s="67">
        <v>19.3</v>
      </c>
      <c r="H57" s="126">
        <v>32478.600000000002</v>
      </c>
      <c r="I57" s="67">
        <v>518671.2</v>
      </c>
      <c r="J57" s="76">
        <v>-180109.99999999997</v>
      </c>
      <c r="K57" s="67">
        <v>483446</v>
      </c>
      <c r="L57" s="68">
        <v>185103.2</v>
      </c>
      <c r="M57" s="68">
        <v>0</v>
      </c>
      <c r="N57" s="67">
        <v>20</v>
      </c>
      <c r="O57" s="116"/>
      <c r="P57" s="72">
        <v>23078.2</v>
      </c>
      <c r="Q57" s="68" t="s">
        <v>43</v>
      </c>
      <c r="R57" s="93">
        <v>7133.799999999977</v>
      </c>
      <c r="S57" s="67">
        <v>518671.19999999995</v>
      </c>
      <c r="T57" s="67">
        <v>1576438.5</v>
      </c>
      <c r="U57" s="67">
        <v>3.0393792830602506</v>
      </c>
    </row>
    <row r="58" spans="1:21" s="75" customFormat="1" ht="15.75">
      <c r="A58" s="102" t="s">
        <v>202</v>
      </c>
      <c r="B58" s="74">
        <v>334282.7</v>
      </c>
      <c r="C58" s="127">
        <v>161888.4</v>
      </c>
      <c r="D58" s="74">
        <v>3460.1000000000004</v>
      </c>
      <c r="E58" s="74">
        <v>1303.3</v>
      </c>
      <c r="F58" s="74">
        <v>18483.5</v>
      </c>
      <c r="G58" s="67">
        <v>27.6</v>
      </c>
      <c r="H58" s="126">
        <v>29101.3</v>
      </c>
      <c r="I58" s="67">
        <v>548546.8999999999</v>
      </c>
      <c r="J58" s="76">
        <v>-175279.1</v>
      </c>
      <c r="K58" s="67">
        <v>408472.6</v>
      </c>
      <c r="L58" s="68">
        <v>283075.3</v>
      </c>
      <c r="M58" s="68">
        <v>0</v>
      </c>
      <c r="N58" s="67">
        <v>20</v>
      </c>
      <c r="O58" s="116"/>
      <c r="P58" s="72">
        <v>23885.4</v>
      </c>
      <c r="Q58" s="68" t="s">
        <v>43</v>
      </c>
      <c r="R58" s="93">
        <v>8372.700000000052</v>
      </c>
      <c r="S58" s="67">
        <v>548546.9</v>
      </c>
      <c r="T58" s="67">
        <v>1620461.3000000003</v>
      </c>
      <c r="U58" s="67">
        <v>2.954097999642329</v>
      </c>
    </row>
    <row r="59" spans="1:21" s="75" customFormat="1" ht="15.75">
      <c r="A59" s="102" t="s">
        <v>203</v>
      </c>
      <c r="B59" s="74">
        <v>320520.4</v>
      </c>
      <c r="C59" s="127">
        <v>172865.5</v>
      </c>
      <c r="D59" s="74">
        <v>3240.1000000000004</v>
      </c>
      <c r="E59" s="74">
        <v>3001.7</v>
      </c>
      <c r="F59" s="74">
        <v>13529.7</v>
      </c>
      <c r="G59" s="67">
        <v>9</v>
      </c>
      <c r="H59" s="126">
        <v>38548.9</v>
      </c>
      <c r="I59" s="67">
        <v>551715.2999999999</v>
      </c>
      <c r="J59" s="76">
        <v>-185086.7</v>
      </c>
      <c r="K59" s="67">
        <v>394238</v>
      </c>
      <c r="L59" s="68">
        <v>282430</v>
      </c>
      <c r="M59" s="68">
        <v>0</v>
      </c>
      <c r="N59" s="67">
        <v>20</v>
      </c>
      <c r="O59" s="116"/>
      <c r="P59" s="72">
        <v>24794.000000000004</v>
      </c>
      <c r="Q59" s="68" t="s">
        <v>43</v>
      </c>
      <c r="R59" s="93">
        <v>35320</v>
      </c>
      <c r="S59" s="67">
        <v>551715.3</v>
      </c>
      <c r="T59" s="67">
        <v>1688923.0999999999</v>
      </c>
      <c r="U59" s="67">
        <v>3.061222155702407</v>
      </c>
    </row>
    <row r="60" spans="1:21" s="75" customFormat="1" ht="15.75">
      <c r="A60" s="102" t="s">
        <v>204</v>
      </c>
      <c r="B60" s="74">
        <v>350207.6</v>
      </c>
      <c r="C60" s="127">
        <v>166378.19999999998</v>
      </c>
      <c r="D60" s="74">
        <v>4497.5</v>
      </c>
      <c r="E60" s="74">
        <v>3538.7999999999997</v>
      </c>
      <c r="F60" s="74">
        <v>9097.099999999999</v>
      </c>
      <c r="G60" s="67">
        <v>17.8</v>
      </c>
      <c r="H60" s="126">
        <v>31091.8</v>
      </c>
      <c r="I60" s="67">
        <v>564828.8</v>
      </c>
      <c r="J60" s="76">
        <v>-165217.1</v>
      </c>
      <c r="K60" s="67">
        <v>441299.1</v>
      </c>
      <c r="L60" s="68">
        <v>248180</v>
      </c>
      <c r="M60" s="68">
        <v>0</v>
      </c>
      <c r="N60" s="67">
        <v>20</v>
      </c>
      <c r="O60" s="116"/>
      <c r="P60" s="72">
        <v>24119.000000000004</v>
      </c>
      <c r="Q60" s="68" t="s">
        <v>43</v>
      </c>
      <c r="R60" s="93">
        <v>16427.800000000032</v>
      </c>
      <c r="S60" s="67">
        <v>564828.8</v>
      </c>
      <c r="T60" s="67">
        <v>1797468.9</v>
      </c>
      <c r="U60" s="67">
        <v>3.190026960381623</v>
      </c>
    </row>
    <row r="61" spans="1:21" s="75" customFormat="1" ht="15.75">
      <c r="A61" s="102"/>
      <c r="B61" s="74"/>
      <c r="C61" s="127"/>
      <c r="D61" s="74"/>
      <c r="E61" s="74"/>
      <c r="F61" s="74"/>
      <c r="G61" s="67"/>
      <c r="H61" s="126"/>
      <c r="I61" s="67"/>
      <c r="J61" s="76"/>
      <c r="K61" s="67"/>
      <c r="L61" s="68"/>
      <c r="M61" s="68"/>
      <c r="N61" s="67"/>
      <c r="O61" s="116"/>
      <c r="P61" s="72"/>
      <c r="Q61" s="68"/>
      <c r="R61" s="93"/>
      <c r="S61" s="67"/>
      <c r="T61" s="67"/>
      <c r="U61" s="67"/>
    </row>
    <row r="62" spans="1:21" s="75" customFormat="1" ht="15.75">
      <c r="A62" s="102" t="s">
        <v>206</v>
      </c>
      <c r="B62" s="74">
        <v>329231.6</v>
      </c>
      <c r="C62" s="127">
        <v>207823.9</v>
      </c>
      <c r="D62" s="74">
        <v>17499.7</v>
      </c>
      <c r="E62" s="74">
        <v>1904.8</v>
      </c>
      <c r="F62" s="74">
        <v>12489.6</v>
      </c>
      <c r="G62" s="67">
        <v>62.3</v>
      </c>
      <c r="H62" s="126">
        <f>2626.8+35338.9</f>
        <v>37965.700000000004</v>
      </c>
      <c r="I62" s="67">
        <f>H62+F62+E62+C62+B62+G62+D62</f>
        <v>606977.6</v>
      </c>
      <c r="J62" s="76">
        <f>130884.5-298865.3+1198.4</f>
        <v>-166782.4</v>
      </c>
      <c r="K62" s="67">
        <f>776260.3-358269.2</f>
        <v>417991.10000000003</v>
      </c>
      <c r="L62" s="68">
        <v>287000</v>
      </c>
      <c r="M62" s="68">
        <v>0</v>
      </c>
      <c r="N62" s="67">
        <v>20</v>
      </c>
      <c r="O62" s="116"/>
      <c r="P62" s="72">
        <v>23853.8</v>
      </c>
      <c r="Q62" s="68" t="s">
        <v>43</v>
      </c>
      <c r="R62" s="93">
        <f>157.9+887.8+200172.4-1198.4-34809.4-1728.6-126372.4+7785.8</f>
        <v>44895.10000000002</v>
      </c>
      <c r="S62" s="67">
        <f>R62+Q62+P62+N62+M62+L62+K62+J62+O62</f>
        <v>606977.6</v>
      </c>
      <c r="T62" s="67">
        <v>1879093.9</v>
      </c>
      <c r="U62" s="67">
        <f>T62/I62</f>
        <v>3.095820834244954</v>
      </c>
    </row>
    <row r="63" spans="1:21" s="75" customFormat="1" ht="15.75">
      <c r="A63" s="102" t="s">
        <v>210</v>
      </c>
      <c r="B63" s="74">
        <v>383003.4</v>
      </c>
      <c r="C63" s="127">
        <v>217133.9</v>
      </c>
      <c r="D63" s="74">
        <v>8594.1</v>
      </c>
      <c r="E63" s="74">
        <v>3359.1</v>
      </c>
      <c r="F63" s="74">
        <v>8879.6</v>
      </c>
      <c r="G63" s="67">
        <v>27.9</v>
      </c>
      <c r="H63" s="126">
        <f>2131.1+34831.4</f>
        <v>36962.5</v>
      </c>
      <c r="I63" s="67">
        <f>H63+F63+E63+C63+B63+G63+D63</f>
        <v>657960.5</v>
      </c>
      <c r="J63" s="76">
        <f>170121.6+7031.5-298866.2</f>
        <v>-121713.1</v>
      </c>
      <c r="K63" s="67">
        <f>762094-384896.3</f>
        <v>377197.7</v>
      </c>
      <c r="L63" s="68">
        <v>335077.8</v>
      </c>
      <c r="M63" s="68">
        <v>0</v>
      </c>
      <c r="N63" s="67">
        <v>20</v>
      </c>
      <c r="O63" s="116"/>
      <c r="P63" s="72">
        <v>23502.4</v>
      </c>
      <c r="Q63" s="68" t="s">
        <v>43</v>
      </c>
      <c r="R63" s="93">
        <f>157.9+887.8+181402.6-7031.5-38420.7-3955.7-140899.6+51734.9</f>
        <v>43875.70000000002</v>
      </c>
      <c r="S63" s="67">
        <f>R63+Q63+P63+N63+M63+L63+K63+J63+O63</f>
        <v>657960.5000000001</v>
      </c>
      <c r="T63" s="67">
        <v>2027007</v>
      </c>
      <c r="U63" s="67">
        <f>T63/I63</f>
        <v>3.0807426889608114</v>
      </c>
    </row>
    <row r="64" spans="1:21" s="75" customFormat="1" ht="15.75">
      <c r="A64" s="102" t="s">
        <v>211</v>
      </c>
      <c r="B64" s="74">
        <v>373777.4</v>
      </c>
      <c r="C64" s="127">
        <v>200245.8</v>
      </c>
      <c r="D64" s="74">
        <v>13233.099999999999</v>
      </c>
      <c r="E64" s="74">
        <v>3326.6</v>
      </c>
      <c r="F64" s="74">
        <v>12715.200000000003</v>
      </c>
      <c r="G64" s="67">
        <v>1.4</v>
      </c>
      <c r="H64" s="126">
        <f>2563.7+38573.2</f>
        <v>41136.899999999994</v>
      </c>
      <c r="I64" s="67">
        <f>H64+F64+E64+C64+B64+G64+D64</f>
        <v>644436.4</v>
      </c>
      <c r="J64" s="76">
        <f>145197.8+7031.5-295964.1</f>
        <v>-143734.8</v>
      </c>
      <c r="K64" s="67">
        <f>756889.1-465555.2</f>
        <v>291333.89999999997</v>
      </c>
      <c r="L64" s="68">
        <v>399460.9</v>
      </c>
      <c r="M64" s="68">
        <v>0</v>
      </c>
      <c r="N64" s="67">
        <v>20</v>
      </c>
      <c r="O64" s="116"/>
      <c r="P64" s="72">
        <v>24409.9</v>
      </c>
      <c r="Q64" s="68" t="s">
        <v>43</v>
      </c>
      <c r="R64" s="93">
        <f>157.9+887.8+210464.2-7031.5-29487.1-1894.5-146196.7+46046.4</f>
        <v>72946.5</v>
      </c>
      <c r="S64" s="67">
        <f>R64+Q64+P64+N64+M64+L64+K64+J64+O64</f>
        <v>644436.3999999999</v>
      </c>
      <c r="T64" s="67">
        <v>2073557</v>
      </c>
      <c r="U64" s="67">
        <f>T64/I64</f>
        <v>3.217628613157171</v>
      </c>
    </row>
    <row r="65" spans="1:21" s="75" customFormat="1" ht="17.25" customHeight="1">
      <c r="A65" s="102" t="s">
        <v>218</v>
      </c>
      <c r="B65" s="74">
        <v>414814.9</v>
      </c>
      <c r="C65" s="127">
        <v>208123.19999999998</v>
      </c>
      <c r="D65" s="74">
        <v>22962.1</v>
      </c>
      <c r="E65" s="74">
        <v>4340</v>
      </c>
      <c r="F65" s="74">
        <v>5405</v>
      </c>
      <c r="G65" s="67">
        <v>1.2</v>
      </c>
      <c r="H65" s="126">
        <f>40326.4+2178.8</f>
        <v>42505.200000000004</v>
      </c>
      <c r="I65" s="67">
        <f>H65+F65+E65+C65+B65+G65+D65</f>
        <v>698151.6</v>
      </c>
      <c r="J65" s="76">
        <f>235831.3+5935-371157</f>
        <v>-129390.70000000001</v>
      </c>
      <c r="K65" s="67">
        <f>746479.4-421651.4</f>
        <v>324828</v>
      </c>
      <c r="L65" s="68">
        <v>422379.9</v>
      </c>
      <c r="M65" s="68">
        <v>0</v>
      </c>
      <c r="N65" s="67">
        <v>20</v>
      </c>
      <c r="O65" s="116"/>
      <c r="P65" s="72">
        <v>24491.3</v>
      </c>
      <c r="Q65" s="68" t="s">
        <v>43</v>
      </c>
      <c r="R65" s="93">
        <f>199796.9+157.9+887.8-5935-59688.3-3847.6-132146.2+56597.6</f>
        <v>55823.09999999997</v>
      </c>
      <c r="S65" s="67">
        <f>R65+Q65+P65+N65+M65+L65+K65+J65+O65</f>
        <v>698151.6000000001</v>
      </c>
      <c r="T65" s="67">
        <v>2202774</v>
      </c>
      <c r="U65" s="67">
        <f>T65/I65</f>
        <v>3.155151402646646</v>
      </c>
    </row>
    <row r="66" spans="1:21" s="75" customFormat="1" ht="15.75">
      <c r="A66" s="102"/>
      <c r="B66" s="74"/>
      <c r="C66" s="127"/>
      <c r="D66" s="74"/>
      <c r="E66" s="74"/>
      <c r="F66" s="74"/>
      <c r="G66" s="67"/>
      <c r="H66" s="126"/>
      <c r="I66" s="67"/>
      <c r="J66" s="76"/>
      <c r="K66" s="67"/>
      <c r="L66" s="68"/>
      <c r="M66" s="68"/>
      <c r="N66" s="67"/>
      <c r="O66" s="116"/>
      <c r="P66" s="72"/>
      <c r="Q66" s="68"/>
      <c r="R66" s="93"/>
      <c r="S66" s="67"/>
      <c r="T66" s="67"/>
      <c r="U66" s="67"/>
    </row>
    <row r="67" spans="1:21" s="75" customFormat="1" ht="15.75">
      <c r="A67" s="102"/>
      <c r="B67" s="67"/>
      <c r="C67" s="67"/>
      <c r="D67" s="67"/>
      <c r="E67" s="67"/>
      <c r="F67" s="67"/>
      <c r="G67" s="67"/>
      <c r="H67" s="69"/>
      <c r="I67" s="67"/>
      <c r="J67" s="76"/>
      <c r="K67" s="67"/>
      <c r="L67" s="68"/>
      <c r="M67" s="68"/>
      <c r="N67" s="67"/>
      <c r="O67" s="116"/>
      <c r="P67" s="72"/>
      <c r="Q67" s="68"/>
      <c r="R67" s="93"/>
      <c r="S67" s="67"/>
      <c r="T67" s="67"/>
      <c r="U67" s="67"/>
    </row>
    <row r="68" spans="1:21" s="75" customFormat="1" ht="15.75" customHeight="1" hidden="1">
      <c r="A68" s="102"/>
      <c r="B68" s="67"/>
      <c r="C68" s="67"/>
      <c r="D68" s="67"/>
      <c r="E68" s="67"/>
      <c r="F68" s="67"/>
      <c r="G68" s="67"/>
      <c r="H68" s="69"/>
      <c r="I68" s="67"/>
      <c r="J68" s="76"/>
      <c r="K68" s="67"/>
      <c r="L68" s="68"/>
      <c r="M68" s="68"/>
      <c r="N68" s="67"/>
      <c r="O68" s="116"/>
      <c r="P68" s="72"/>
      <c r="Q68" s="68"/>
      <c r="R68" s="93"/>
      <c r="S68" s="67"/>
      <c r="T68" s="67"/>
      <c r="U68" s="67"/>
    </row>
    <row r="69" spans="1:21" s="75" customFormat="1" ht="15.75" customHeight="1" hidden="1">
      <c r="A69" s="78" t="s">
        <v>44</v>
      </c>
      <c r="B69" s="67">
        <v>87847.1</v>
      </c>
      <c r="C69" s="67">
        <v>21116.2</v>
      </c>
      <c r="D69" s="68" t="s">
        <v>43</v>
      </c>
      <c r="E69" s="67">
        <v>751.6999999999999</v>
      </c>
      <c r="F69" s="67">
        <v>1538.8</v>
      </c>
      <c r="G69" s="67">
        <v>459</v>
      </c>
      <c r="H69" s="69">
        <v>2177.2</v>
      </c>
      <c r="I69" s="67">
        <f aca="true" t="shared" si="3" ref="I69:I119">H69+F69+E69+C69+B69+G69+D69</f>
        <v>113890</v>
      </c>
      <c r="J69" s="74">
        <v>71000.09999999998</v>
      </c>
      <c r="K69" s="67">
        <v>95478.1</v>
      </c>
      <c r="L69" s="67">
        <v>1804</v>
      </c>
      <c r="M69" s="67">
        <v>380.9</v>
      </c>
      <c r="N69" s="67">
        <v>25</v>
      </c>
      <c r="O69" s="71" t="s">
        <v>43</v>
      </c>
      <c r="P69" s="72">
        <v>3815.5</v>
      </c>
      <c r="Q69" s="68" t="s">
        <v>43</v>
      </c>
      <c r="R69" s="74">
        <v>-58613.59999999999</v>
      </c>
      <c r="S69" s="67">
        <f>R69+Q69+P69+N69+M69+L69+K69+J69+O69</f>
        <v>113890</v>
      </c>
      <c r="T69" s="67">
        <v>365559.8</v>
      </c>
      <c r="U69" s="67">
        <f aca="true" t="shared" si="4" ref="U69:U136">T69/I69</f>
        <v>3.2097620511019405</v>
      </c>
    </row>
    <row r="70" spans="1:21" s="75" customFormat="1" ht="15.75" customHeight="1" hidden="1">
      <c r="A70" s="78" t="s">
        <v>51</v>
      </c>
      <c r="B70" s="67">
        <v>88984.4</v>
      </c>
      <c r="C70" s="67">
        <v>19977.3</v>
      </c>
      <c r="D70" s="68" t="s">
        <v>43</v>
      </c>
      <c r="E70" s="67">
        <v>1824.2999999999997</v>
      </c>
      <c r="F70" s="67">
        <v>1165.7</v>
      </c>
      <c r="G70" s="67">
        <v>398.2</v>
      </c>
      <c r="H70" s="69">
        <v>2259.2999999999997</v>
      </c>
      <c r="I70" s="67">
        <f t="shared" si="3"/>
        <v>114609.2</v>
      </c>
      <c r="J70" s="74">
        <v>62812.29999999999</v>
      </c>
      <c r="K70" s="67">
        <v>105260.5</v>
      </c>
      <c r="L70" s="67">
        <v>1000</v>
      </c>
      <c r="M70" s="67">
        <v>380.9</v>
      </c>
      <c r="N70" s="67">
        <v>25</v>
      </c>
      <c r="O70" s="71" t="s">
        <v>43</v>
      </c>
      <c r="P70" s="72">
        <v>3781.2999999999997</v>
      </c>
      <c r="Q70" s="68" t="s">
        <v>43</v>
      </c>
      <c r="R70" s="74">
        <v>-58650.8</v>
      </c>
      <c r="S70" s="67">
        <f aca="true" t="shared" si="5" ref="S70:S138">R70+Q70+P70+N70+M70+L70+K70+J70+O70</f>
        <v>114609.19999999998</v>
      </c>
      <c r="T70" s="67">
        <v>378747.69999999995</v>
      </c>
      <c r="U70" s="67">
        <f t="shared" si="4"/>
        <v>3.3046884543300186</v>
      </c>
    </row>
    <row r="71" spans="1:21" s="75" customFormat="1" ht="15.75" customHeight="1" hidden="1">
      <c r="A71" s="78" t="s">
        <v>45</v>
      </c>
      <c r="B71" s="67">
        <v>89739.6</v>
      </c>
      <c r="C71" s="67">
        <v>23461.300000000003</v>
      </c>
      <c r="D71" s="68" t="s">
        <v>43</v>
      </c>
      <c r="E71" s="67">
        <v>1391.6999999999998</v>
      </c>
      <c r="F71" s="67">
        <v>1864.2</v>
      </c>
      <c r="G71" s="67">
        <v>340.6</v>
      </c>
      <c r="H71" s="69">
        <v>2050.2999999999997</v>
      </c>
      <c r="I71" s="67">
        <f t="shared" si="3"/>
        <v>118847.70000000001</v>
      </c>
      <c r="J71" s="74">
        <v>60403.49999999994</v>
      </c>
      <c r="K71" s="67">
        <v>107776.49999999999</v>
      </c>
      <c r="L71" s="67">
        <v>1000</v>
      </c>
      <c r="M71" s="67">
        <v>380.9</v>
      </c>
      <c r="N71" s="67">
        <v>25</v>
      </c>
      <c r="O71" s="71" t="s">
        <v>43</v>
      </c>
      <c r="P71" s="72">
        <v>3931.7999999999997</v>
      </c>
      <c r="Q71" s="79">
        <v>-3000</v>
      </c>
      <c r="R71" s="74">
        <v>-51669.99999999999</v>
      </c>
      <c r="S71" s="67">
        <f t="shared" si="5"/>
        <v>118847.69999999994</v>
      </c>
      <c r="T71" s="67">
        <v>398263.2</v>
      </c>
      <c r="U71" s="67">
        <f t="shared" si="4"/>
        <v>3.3510383457147253</v>
      </c>
    </row>
    <row r="72" spans="1:21" s="75" customFormat="1" ht="15.75" customHeight="1" hidden="1">
      <c r="A72" s="78" t="s">
        <v>54</v>
      </c>
      <c r="B72" s="67">
        <v>98410.2</v>
      </c>
      <c r="C72" s="67">
        <v>22480</v>
      </c>
      <c r="D72" s="68" t="s">
        <v>43</v>
      </c>
      <c r="E72" s="67">
        <v>1734.1</v>
      </c>
      <c r="F72" s="67">
        <v>2398.0000000000005</v>
      </c>
      <c r="G72" s="67">
        <v>261.4</v>
      </c>
      <c r="H72" s="69">
        <v>1930.3</v>
      </c>
      <c r="I72" s="67">
        <f t="shared" si="3"/>
        <v>127214</v>
      </c>
      <c r="J72" s="74">
        <v>65629.4</v>
      </c>
      <c r="K72" s="67">
        <v>106043.30000000002</v>
      </c>
      <c r="L72" s="67">
        <v>1000</v>
      </c>
      <c r="M72" s="67">
        <v>380.9</v>
      </c>
      <c r="N72" s="67">
        <v>25</v>
      </c>
      <c r="O72" s="71" t="s">
        <v>43</v>
      </c>
      <c r="P72" s="72">
        <v>3953.5</v>
      </c>
      <c r="Q72" s="68" t="s">
        <v>43</v>
      </c>
      <c r="R72" s="74">
        <v>-49818.100000000006</v>
      </c>
      <c r="S72" s="67">
        <f t="shared" si="5"/>
        <v>127214</v>
      </c>
      <c r="T72" s="67">
        <v>396837.4</v>
      </c>
      <c r="U72" s="67">
        <f t="shared" si="4"/>
        <v>3.1194475450815164</v>
      </c>
    </row>
    <row r="73" spans="1:21" s="75" customFormat="1" ht="15.75" customHeight="1" hidden="1">
      <c r="A73" s="78" t="s">
        <v>55</v>
      </c>
      <c r="B73" s="67">
        <v>98766.6</v>
      </c>
      <c r="C73" s="67">
        <v>23173.1</v>
      </c>
      <c r="D73" s="68" t="s">
        <v>43</v>
      </c>
      <c r="E73" s="67">
        <v>1414.8</v>
      </c>
      <c r="F73" s="67">
        <v>1675.1769999999997</v>
      </c>
      <c r="G73" s="67">
        <v>336.5</v>
      </c>
      <c r="H73" s="69">
        <v>2158.7</v>
      </c>
      <c r="I73" s="67">
        <f t="shared" si="3"/>
        <v>127524.87700000001</v>
      </c>
      <c r="J73" s="59">
        <v>61488</v>
      </c>
      <c r="K73" s="67">
        <v>117095.97699999998</v>
      </c>
      <c r="L73" s="68" t="s">
        <v>43</v>
      </c>
      <c r="M73" s="67">
        <v>380.9</v>
      </c>
      <c r="N73" s="67">
        <v>25</v>
      </c>
      <c r="O73" s="71" t="s">
        <v>43</v>
      </c>
      <c r="P73" s="72">
        <v>4084.1</v>
      </c>
      <c r="Q73" s="79">
        <v>-5000</v>
      </c>
      <c r="R73" s="74">
        <v>-50549.1</v>
      </c>
      <c r="S73" s="67">
        <f t="shared" si="5"/>
        <v>127524.87699999998</v>
      </c>
      <c r="T73" s="67">
        <v>387845.07699999993</v>
      </c>
      <c r="U73" s="67">
        <f t="shared" si="4"/>
        <v>3.041328767562739</v>
      </c>
    </row>
    <row r="74" spans="1:21" s="75" customFormat="1" ht="15.75" customHeight="1" hidden="1">
      <c r="A74" s="78" t="s">
        <v>57</v>
      </c>
      <c r="B74" s="67">
        <v>109147.9</v>
      </c>
      <c r="C74" s="67">
        <v>18877.9</v>
      </c>
      <c r="D74" s="68" t="s">
        <v>43</v>
      </c>
      <c r="E74" s="67">
        <v>1506.9</v>
      </c>
      <c r="F74" s="67">
        <v>4287.1</v>
      </c>
      <c r="G74" s="67">
        <v>490.1</v>
      </c>
      <c r="H74" s="69">
        <v>1501.1</v>
      </c>
      <c r="I74" s="67">
        <f t="shared" si="3"/>
        <v>135811</v>
      </c>
      <c r="J74" s="70">
        <v>56309.5</v>
      </c>
      <c r="K74" s="67">
        <v>126345.09999999999</v>
      </c>
      <c r="L74" s="67">
        <v>1474.9</v>
      </c>
      <c r="M74" s="67">
        <v>380.9</v>
      </c>
      <c r="N74" s="67">
        <v>25</v>
      </c>
      <c r="O74" s="71" t="s">
        <v>43</v>
      </c>
      <c r="P74" s="72">
        <v>4127.7</v>
      </c>
      <c r="Q74" s="68" t="s">
        <v>43</v>
      </c>
      <c r="R74" s="74">
        <v>-52852.100000000006</v>
      </c>
      <c r="S74" s="67">
        <f t="shared" si="5"/>
        <v>135811</v>
      </c>
      <c r="T74" s="67">
        <v>406650.7</v>
      </c>
      <c r="U74" s="67">
        <f t="shared" si="4"/>
        <v>2.994239789118702</v>
      </c>
    </row>
    <row r="75" spans="1:21" s="75" customFormat="1" ht="15.75" customHeight="1" hidden="1">
      <c r="A75" s="78" t="s">
        <v>58</v>
      </c>
      <c r="B75" s="67">
        <v>121800.8</v>
      </c>
      <c r="C75" s="67">
        <v>21782.1</v>
      </c>
      <c r="D75" s="68" t="s">
        <v>43</v>
      </c>
      <c r="E75" s="67">
        <v>1271.3</v>
      </c>
      <c r="F75" s="67">
        <v>1552.6999999999998</v>
      </c>
      <c r="G75" s="67">
        <v>456.2</v>
      </c>
      <c r="H75" s="69">
        <v>2042.6</v>
      </c>
      <c r="I75" s="67">
        <f t="shared" si="3"/>
        <v>148905.7</v>
      </c>
      <c r="J75" s="70">
        <v>70144.19999999995</v>
      </c>
      <c r="K75" s="67">
        <v>122388.49999999997</v>
      </c>
      <c r="L75" s="67">
        <v>3006.3</v>
      </c>
      <c r="M75" s="67">
        <v>380.9</v>
      </c>
      <c r="N75" s="67">
        <v>25</v>
      </c>
      <c r="O75" s="71" t="s">
        <v>43</v>
      </c>
      <c r="P75" s="72">
        <v>4086.8</v>
      </c>
      <c r="Q75" s="68" t="s">
        <v>43</v>
      </c>
      <c r="R75" s="74">
        <v>-51126</v>
      </c>
      <c r="S75" s="67">
        <f t="shared" si="5"/>
        <v>148905.69999999992</v>
      </c>
      <c r="T75" s="67">
        <v>424665.5</v>
      </c>
      <c r="U75" s="67">
        <f t="shared" si="4"/>
        <v>2.8519089598316247</v>
      </c>
    </row>
    <row r="76" spans="1:21" s="75" customFormat="1" ht="15.75" customHeight="1" hidden="1">
      <c r="A76" s="78" t="s">
        <v>59</v>
      </c>
      <c r="B76" s="67">
        <v>121398.7</v>
      </c>
      <c r="C76" s="67">
        <v>17654.9</v>
      </c>
      <c r="D76" s="68" t="s">
        <v>43</v>
      </c>
      <c r="E76" s="67">
        <v>920.4000000000001</v>
      </c>
      <c r="F76" s="67">
        <v>1198.7</v>
      </c>
      <c r="G76" s="67">
        <v>293.2</v>
      </c>
      <c r="H76" s="69">
        <v>2010.8</v>
      </c>
      <c r="I76" s="67">
        <f t="shared" si="3"/>
        <v>143476.7</v>
      </c>
      <c r="J76" s="70">
        <v>79117.50000000003</v>
      </c>
      <c r="K76" s="67">
        <v>105645.6</v>
      </c>
      <c r="L76" s="67">
        <v>6000</v>
      </c>
      <c r="M76" s="67">
        <v>380.9</v>
      </c>
      <c r="N76" s="67">
        <v>25</v>
      </c>
      <c r="O76" s="71" t="s">
        <v>43</v>
      </c>
      <c r="P76" s="72">
        <v>4045.3</v>
      </c>
      <c r="Q76" s="68" t="s">
        <v>43</v>
      </c>
      <c r="R76" s="74">
        <v>-51737.6</v>
      </c>
      <c r="S76" s="67">
        <f t="shared" si="5"/>
        <v>143476.70000000004</v>
      </c>
      <c r="T76" s="67">
        <v>438876.20000000007</v>
      </c>
      <c r="U76" s="67">
        <f t="shared" si="4"/>
        <v>3.0588673979816936</v>
      </c>
    </row>
    <row r="77" spans="1:21" s="75" customFormat="1" ht="15.75" customHeight="1" hidden="1">
      <c r="A77" s="78" t="s">
        <v>60</v>
      </c>
      <c r="B77" s="67">
        <v>123002.6</v>
      </c>
      <c r="C77" s="67">
        <v>17303.1</v>
      </c>
      <c r="D77" s="68" t="s">
        <v>43</v>
      </c>
      <c r="E77" s="67">
        <v>1436.6</v>
      </c>
      <c r="F77" s="67">
        <v>2300</v>
      </c>
      <c r="G77" s="67">
        <v>256.1</v>
      </c>
      <c r="H77" s="69">
        <v>2635.2</v>
      </c>
      <c r="I77" s="67">
        <f t="shared" si="3"/>
        <v>146933.6</v>
      </c>
      <c r="J77" s="70">
        <v>75833.29999999996</v>
      </c>
      <c r="K77" s="67">
        <v>107112.1</v>
      </c>
      <c r="L77" s="67">
        <v>10622.1</v>
      </c>
      <c r="M77" s="67">
        <v>380.9</v>
      </c>
      <c r="N77" s="67">
        <v>25</v>
      </c>
      <c r="O77" s="71" t="s">
        <v>43</v>
      </c>
      <c r="P77" s="72">
        <v>3971.9</v>
      </c>
      <c r="Q77" s="68" t="s">
        <v>43</v>
      </c>
      <c r="R77" s="74">
        <v>-51011.7</v>
      </c>
      <c r="S77" s="67">
        <f t="shared" si="5"/>
        <v>146933.59999999998</v>
      </c>
      <c r="T77" s="67">
        <v>453036.39999999997</v>
      </c>
      <c r="U77" s="67">
        <f t="shared" si="4"/>
        <v>3.083272988615265</v>
      </c>
    </row>
    <row r="78" spans="1:21" s="75" customFormat="1" ht="15.75" customHeight="1" hidden="1">
      <c r="A78" s="78" t="s">
        <v>61</v>
      </c>
      <c r="B78" s="67">
        <v>118622.6</v>
      </c>
      <c r="C78" s="67">
        <v>23160.4</v>
      </c>
      <c r="D78" s="68" t="s">
        <v>43</v>
      </c>
      <c r="E78" s="67">
        <v>835.6</v>
      </c>
      <c r="F78" s="67">
        <v>1851.5</v>
      </c>
      <c r="G78" s="67">
        <v>143.6</v>
      </c>
      <c r="H78" s="69">
        <v>1653.9</v>
      </c>
      <c r="I78" s="67">
        <f t="shared" si="3"/>
        <v>146267.6</v>
      </c>
      <c r="J78" s="70">
        <v>95303.6</v>
      </c>
      <c r="K78" s="67">
        <v>94508.8</v>
      </c>
      <c r="L78" s="67">
        <v>5355.8</v>
      </c>
      <c r="M78" s="67">
        <v>380.9</v>
      </c>
      <c r="N78" s="67">
        <v>25</v>
      </c>
      <c r="O78" s="71" t="s">
        <v>43</v>
      </c>
      <c r="P78" s="72">
        <v>4023.9</v>
      </c>
      <c r="Q78" s="68" t="s">
        <v>43</v>
      </c>
      <c r="R78" s="74">
        <v>-53330.399999999994</v>
      </c>
      <c r="S78" s="67">
        <f t="shared" si="5"/>
        <v>146267.60000000003</v>
      </c>
      <c r="T78" s="67">
        <v>452404.50000000006</v>
      </c>
      <c r="U78" s="67">
        <f t="shared" si="4"/>
        <v>3.092991886104647</v>
      </c>
    </row>
    <row r="79" spans="1:21" s="75" customFormat="1" ht="15.75" customHeight="1" hidden="1">
      <c r="A79" s="78" t="s">
        <v>62</v>
      </c>
      <c r="B79" s="67">
        <v>116373.1</v>
      </c>
      <c r="C79" s="67">
        <v>20223</v>
      </c>
      <c r="D79" s="68" t="s">
        <v>43</v>
      </c>
      <c r="E79" s="67">
        <v>632.4</v>
      </c>
      <c r="F79" s="67">
        <v>1054.3</v>
      </c>
      <c r="G79" s="67">
        <v>133</v>
      </c>
      <c r="H79" s="69">
        <v>1621.7</v>
      </c>
      <c r="I79" s="67">
        <f t="shared" si="3"/>
        <v>140037.5</v>
      </c>
      <c r="J79" s="70">
        <v>107336.39999999994</v>
      </c>
      <c r="K79" s="67">
        <v>77336.90000000002</v>
      </c>
      <c r="L79" s="67">
        <v>5508.8</v>
      </c>
      <c r="M79" s="67">
        <v>380.9</v>
      </c>
      <c r="N79" s="67">
        <v>25</v>
      </c>
      <c r="O79" s="71" t="s">
        <v>43</v>
      </c>
      <c r="P79" s="72">
        <v>4016.4</v>
      </c>
      <c r="Q79" s="73">
        <v>-1500</v>
      </c>
      <c r="R79" s="74">
        <v>-53066.899999999994</v>
      </c>
      <c r="S79" s="67">
        <f t="shared" si="5"/>
        <v>140037.49999999997</v>
      </c>
      <c r="T79" s="67">
        <v>454987.00000000006</v>
      </c>
      <c r="U79" s="67">
        <f t="shared" si="4"/>
        <v>3.2490368651254133</v>
      </c>
    </row>
    <row r="80" spans="1:21" s="75" customFormat="1" ht="15.75" customHeight="1" hidden="1">
      <c r="A80" s="78" t="s">
        <v>63</v>
      </c>
      <c r="B80" s="67">
        <v>124230.9</v>
      </c>
      <c r="C80" s="67">
        <v>24965.9</v>
      </c>
      <c r="D80" s="68" t="s">
        <v>43</v>
      </c>
      <c r="E80" s="67">
        <v>1127</v>
      </c>
      <c r="F80" s="67">
        <v>4527.2</v>
      </c>
      <c r="G80" s="67">
        <v>56.9</v>
      </c>
      <c r="H80" s="69">
        <v>1675.3</v>
      </c>
      <c r="I80" s="67">
        <f t="shared" si="3"/>
        <v>156583.19999999998</v>
      </c>
      <c r="J80" s="70">
        <v>159092.20000000007</v>
      </c>
      <c r="K80" s="67">
        <v>76990.5</v>
      </c>
      <c r="L80" s="68" t="s">
        <v>43</v>
      </c>
      <c r="M80" s="67">
        <v>380.9</v>
      </c>
      <c r="N80" s="67">
        <v>25</v>
      </c>
      <c r="O80" s="71" t="s">
        <v>43</v>
      </c>
      <c r="P80" s="72">
        <v>3901.2000000000003</v>
      </c>
      <c r="Q80" s="73">
        <v>-12000</v>
      </c>
      <c r="R80" s="74">
        <v>-71806.6</v>
      </c>
      <c r="S80" s="67">
        <f t="shared" si="5"/>
        <v>156583.20000000007</v>
      </c>
      <c r="T80" s="67">
        <v>482598.3</v>
      </c>
      <c r="U80" s="67">
        <f t="shared" si="4"/>
        <v>3.082056695737474</v>
      </c>
    </row>
    <row r="81" spans="1:21" s="75" customFormat="1" ht="15.75" customHeight="1" hidden="1">
      <c r="A81" s="78"/>
      <c r="B81" s="67"/>
      <c r="C81" s="67"/>
      <c r="D81" s="68"/>
      <c r="E81" s="67"/>
      <c r="F81" s="67"/>
      <c r="G81" s="67"/>
      <c r="H81" s="69"/>
      <c r="I81" s="67"/>
      <c r="J81" s="70"/>
      <c r="K81" s="67"/>
      <c r="L81" s="68"/>
      <c r="M81" s="67"/>
      <c r="N81" s="67"/>
      <c r="O81" s="71"/>
      <c r="P81" s="72"/>
      <c r="Q81" s="73"/>
      <c r="R81" s="74"/>
      <c r="S81" s="67"/>
      <c r="T81" s="67"/>
      <c r="U81" s="67"/>
    </row>
    <row r="82" spans="1:21" s="75" customFormat="1" ht="15.75" customHeight="1" hidden="1">
      <c r="A82" s="78" t="s">
        <v>48</v>
      </c>
      <c r="B82" s="67">
        <v>114706.9</v>
      </c>
      <c r="C82" s="67">
        <v>31192.800000000003</v>
      </c>
      <c r="D82" s="68" t="s">
        <v>43</v>
      </c>
      <c r="E82" s="67">
        <v>817.6</v>
      </c>
      <c r="F82" s="67">
        <v>1689.4999999999998</v>
      </c>
      <c r="G82" s="67">
        <v>89.3</v>
      </c>
      <c r="H82" s="69">
        <v>1627.8</v>
      </c>
      <c r="I82" s="67">
        <f t="shared" si="3"/>
        <v>150123.9</v>
      </c>
      <c r="J82" s="70">
        <v>141369.9</v>
      </c>
      <c r="K82" s="67">
        <v>72031.8</v>
      </c>
      <c r="L82" s="68" t="s">
        <v>43</v>
      </c>
      <c r="M82" s="67">
        <v>380.9</v>
      </c>
      <c r="N82" s="67">
        <v>25</v>
      </c>
      <c r="O82" s="71" t="s">
        <v>43</v>
      </c>
      <c r="P82" s="72">
        <v>4675.2</v>
      </c>
      <c r="Q82" s="73">
        <v>-15000</v>
      </c>
      <c r="R82" s="74">
        <v>-53358.9</v>
      </c>
      <c r="S82" s="67">
        <f t="shared" si="5"/>
        <v>150123.9</v>
      </c>
      <c r="T82" s="67">
        <v>464981.6</v>
      </c>
      <c r="U82" s="67">
        <f t="shared" si="4"/>
        <v>3.0973189478823824</v>
      </c>
    </row>
    <row r="83" spans="1:21" s="75" customFormat="1" ht="15.75" customHeight="1" hidden="1">
      <c r="A83" s="78" t="s">
        <v>64</v>
      </c>
      <c r="B83" s="67">
        <v>113068.7</v>
      </c>
      <c r="C83" s="67">
        <v>27634.1</v>
      </c>
      <c r="D83" s="68" t="s">
        <v>43</v>
      </c>
      <c r="E83" s="67">
        <v>704.0000000000001</v>
      </c>
      <c r="F83" s="67">
        <v>1532.168</v>
      </c>
      <c r="G83" s="67">
        <v>93.5</v>
      </c>
      <c r="H83" s="69">
        <v>1771.6</v>
      </c>
      <c r="I83" s="67">
        <f t="shared" si="3"/>
        <v>144804.068</v>
      </c>
      <c r="J83" s="70">
        <v>125265.90000000002</v>
      </c>
      <c r="K83" s="67">
        <v>81052.96800000002</v>
      </c>
      <c r="L83" s="68" t="s">
        <v>43</v>
      </c>
      <c r="M83" s="67">
        <v>380.9</v>
      </c>
      <c r="N83" s="67">
        <v>25</v>
      </c>
      <c r="O83" s="71" t="s">
        <v>43</v>
      </c>
      <c r="P83" s="72">
        <v>4588.5</v>
      </c>
      <c r="Q83" s="73">
        <v>-10000</v>
      </c>
      <c r="R83" s="74">
        <v>-56509.2</v>
      </c>
      <c r="S83" s="67">
        <f t="shared" si="5"/>
        <v>144804.06800000006</v>
      </c>
      <c r="T83" s="67">
        <v>460292.568</v>
      </c>
      <c r="U83" s="67">
        <f t="shared" si="4"/>
        <v>3.1787267744439336</v>
      </c>
    </row>
    <row r="84" spans="1:21" s="75" customFormat="1" ht="15.75" customHeight="1" hidden="1">
      <c r="A84" s="78" t="s">
        <v>49</v>
      </c>
      <c r="B84" s="67">
        <v>112651.3</v>
      </c>
      <c r="C84" s="67">
        <v>22247.699999999997</v>
      </c>
      <c r="D84" s="68" t="s">
        <v>43</v>
      </c>
      <c r="E84" s="67">
        <v>482.70000000000005</v>
      </c>
      <c r="F84" s="67">
        <v>1866.9</v>
      </c>
      <c r="G84" s="67">
        <v>232.7</v>
      </c>
      <c r="H84" s="69">
        <v>1526.3</v>
      </c>
      <c r="I84" s="67">
        <f t="shared" si="3"/>
        <v>139007.6</v>
      </c>
      <c r="J84" s="70">
        <v>105784.50000000003</v>
      </c>
      <c r="K84" s="67">
        <v>86813.2</v>
      </c>
      <c r="L84" s="68" t="s">
        <v>43</v>
      </c>
      <c r="M84" s="67">
        <v>380.9</v>
      </c>
      <c r="N84" s="67">
        <v>25</v>
      </c>
      <c r="O84" s="71" t="s">
        <v>43</v>
      </c>
      <c r="P84" s="72">
        <v>4553.5</v>
      </c>
      <c r="Q84" s="73">
        <v>-8300</v>
      </c>
      <c r="R84" s="74">
        <v>-50249.49999999999</v>
      </c>
      <c r="S84" s="67">
        <f t="shared" si="5"/>
        <v>139007.60000000003</v>
      </c>
      <c r="T84" s="67">
        <v>471393.8999999999</v>
      </c>
      <c r="U84" s="67">
        <f t="shared" si="4"/>
        <v>3.39113760686466</v>
      </c>
    </row>
    <row r="85" spans="1:21" s="75" customFormat="1" ht="15.75" customHeight="1" hidden="1">
      <c r="A85" s="78" t="s">
        <v>65</v>
      </c>
      <c r="B85" s="67">
        <v>115183.7</v>
      </c>
      <c r="C85" s="67">
        <v>23019</v>
      </c>
      <c r="D85" s="68" t="s">
        <v>43</v>
      </c>
      <c r="E85" s="67">
        <v>472.70000000000005</v>
      </c>
      <c r="F85" s="67">
        <v>2219.5</v>
      </c>
      <c r="G85" s="67">
        <v>59.6</v>
      </c>
      <c r="H85" s="69">
        <v>1285.2</v>
      </c>
      <c r="I85" s="67">
        <f t="shared" si="3"/>
        <v>142239.7</v>
      </c>
      <c r="J85" s="70">
        <v>90877.50000000003</v>
      </c>
      <c r="K85" s="67">
        <v>97639.40000000001</v>
      </c>
      <c r="L85" s="68" t="s">
        <v>43</v>
      </c>
      <c r="M85" s="67">
        <v>380.9</v>
      </c>
      <c r="N85" s="67">
        <v>25</v>
      </c>
      <c r="O85" s="71" t="s">
        <v>43</v>
      </c>
      <c r="P85" s="72">
        <v>4559.900000000001</v>
      </c>
      <c r="Q85" s="73">
        <v>-2300</v>
      </c>
      <c r="R85" s="74">
        <v>-48943</v>
      </c>
      <c r="S85" s="67">
        <f t="shared" si="5"/>
        <v>142239.70000000004</v>
      </c>
      <c r="T85" s="67">
        <v>476285.8</v>
      </c>
      <c r="U85" s="67">
        <f t="shared" si="4"/>
        <v>3.3484730353058954</v>
      </c>
    </row>
    <row r="86" spans="1:21" s="75" customFormat="1" ht="15.75" customHeight="1" hidden="1">
      <c r="A86" s="78" t="s">
        <v>67</v>
      </c>
      <c r="B86" s="67">
        <v>112468.1</v>
      </c>
      <c r="C86" s="67">
        <v>30605.6</v>
      </c>
      <c r="D86" s="68" t="s">
        <v>43</v>
      </c>
      <c r="E86" s="67">
        <v>318.79999999999995</v>
      </c>
      <c r="F86" s="67">
        <v>1111</v>
      </c>
      <c r="G86" s="67">
        <v>43</v>
      </c>
      <c r="H86" s="69">
        <v>1319.9</v>
      </c>
      <c r="I86" s="67">
        <f t="shared" si="3"/>
        <v>145866.4</v>
      </c>
      <c r="J86" s="70">
        <v>154336.40000000008</v>
      </c>
      <c r="K86" s="67">
        <v>70010.70000000001</v>
      </c>
      <c r="L86" s="68" t="s">
        <v>43</v>
      </c>
      <c r="M86" s="67">
        <v>380.9</v>
      </c>
      <c r="N86" s="67">
        <v>25</v>
      </c>
      <c r="O86" s="71" t="s">
        <v>43</v>
      </c>
      <c r="P86" s="72">
        <v>4633</v>
      </c>
      <c r="Q86" s="68" t="s">
        <v>43</v>
      </c>
      <c r="R86" s="74">
        <v>-83519.6</v>
      </c>
      <c r="S86" s="67">
        <f t="shared" si="5"/>
        <v>145866.40000000008</v>
      </c>
      <c r="T86" s="67">
        <v>470690.0000000001</v>
      </c>
      <c r="U86" s="67">
        <f t="shared" si="4"/>
        <v>3.226856904674415</v>
      </c>
    </row>
    <row r="87" spans="1:21" s="75" customFormat="1" ht="15.75" customHeight="1" hidden="1">
      <c r="A87" s="78" t="s">
        <v>69</v>
      </c>
      <c r="B87" s="67">
        <v>120665.4</v>
      </c>
      <c r="C87" s="67">
        <v>39647.5</v>
      </c>
      <c r="D87" s="68" t="s">
        <v>43</v>
      </c>
      <c r="E87" s="67">
        <v>835.8</v>
      </c>
      <c r="F87" s="67">
        <v>2826.4</v>
      </c>
      <c r="G87" s="67">
        <v>55.3</v>
      </c>
      <c r="H87" s="69">
        <v>1354.9</v>
      </c>
      <c r="I87" s="67">
        <f t="shared" si="3"/>
        <v>165385.3</v>
      </c>
      <c r="J87" s="70">
        <v>148241.89999999997</v>
      </c>
      <c r="K87" s="67">
        <v>92741.8</v>
      </c>
      <c r="L87" s="68" t="s">
        <v>43</v>
      </c>
      <c r="M87" s="67">
        <v>380.9</v>
      </c>
      <c r="N87" s="67">
        <v>25</v>
      </c>
      <c r="O87" s="71" t="s">
        <v>43</v>
      </c>
      <c r="P87" s="72">
        <v>4658.5</v>
      </c>
      <c r="Q87" s="68" t="s">
        <v>43</v>
      </c>
      <c r="R87" s="74">
        <v>-80662.8</v>
      </c>
      <c r="S87" s="67">
        <f t="shared" si="5"/>
        <v>165385.29999999996</v>
      </c>
      <c r="T87" s="67">
        <v>486761.1</v>
      </c>
      <c r="U87" s="67">
        <f t="shared" si="4"/>
        <v>2.943194467706622</v>
      </c>
    </row>
    <row r="88" spans="1:21" s="75" customFormat="1" ht="15.75" customHeight="1" hidden="1">
      <c r="A88" s="78" t="s">
        <v>70</v>
      </c>
      <c r="B88" s="67">
        <v>124675.4</v>
      </c>
      <c r="C88" s="67">
        <v>21455.5</v>
      </c>
      <c r="D88" s="68" t="s">
        <v>43</v>
      </c>
      <c r="E88" s="67">
        <v>220.4</v>
      </c>
      <c r="F88" s="67">
        <v>1534.6</v>
      </c>
      <c r="G88" s="67">
        <v>42.1</v>
      </c>
      <c r="H88" s="69">
        <v>1409.2</v>
      </c>
      <c r="I88" s="67">
        <f t="shared" si="3"/>
        <v>149337.2</v>
      </c>
      <c r="J88" s="70">
        <v>132152.60000000003</v>
      </c>
      <c r="K88" s="67">
        <v>95710.20000000001</v>
      </c>
      <c r="L88" s="68" t="s">
        <v>43</v>
      </c>
      <c r="M88" s="67">
        <v>380.9</v>
      </c>
      <c r="N88" s="67">
        <v>25</v>
      </c>
      <c r="O88" s="71" t="s">
        <v>43</v>
      </c>
      <c r="P88" s="72">
        <v>4670.699999999999</v>
      </c>
      <c r="Q88" s="73">
        <v>-3000</v>
      </c>
      <c r="R88" s="74">
        <v>-80602.2</v>
      </c>
      <c r="S88" s="67">
        <f t="shared" si="5"/>
        <v>149337.20000000004</v>
      </c>
      <c r="T88" s="67">
        <v>486512.20000000007</v>
      </c>
      <c r="U88" s="67">
        <f t="shared" si="4"/>
        <v>3.257809842423723</v>
      </c>
    </row>
    <row r="89" spans="1:21" s="75" customFormat="1" ht="15.75" customHeight="1" hidden="1">
      <c r="A89" s="78" t="s">
        <v>71</v>
      </c>
      <c r="B89" s="67">
        <v>124765.5</v>
      </c>
      <c r="C89" s="67">
        <v>26062.2</v>
      </c>
      <c r="D89" s="68" t="s">
        <v>43</v>
      </c>
      <c r="E89" s="67">
        <v>303.80000000000007</v>
      </c>
      <c r="F89" s="67">
        <v>1731.2</v>
      </c>
      <c r="G89" s="67">
        <v>64.5</v>
      </c>
      <c r="H89" s="69">
        <v>1217</v>
      </c>
      <c r="I89" s="67">
        <f t="shared" si="3"/>
        <v>154144.2</v>
      </c>
      <c r="J89" s="70">
        <v>115750.00000000003</v>
      </c>
      <c r="K89" s="67">
        <v>111837.09999999999</v>
      </c>
      <c r="L89" s="68" t="s">
        <v>43</v>
      </c>
      <c r="M89" s="67">
        <v>380.9</v>
      </c>
      <c r="N89" s="67">
        <v>25</v>
      </c>
      <c r="O89" s="71" t="s">
        <v>43</v>
      </c>
      <c r="P89" s="72">
        <v>4653.9</v>
      </c>
      <c r="Q89" s="68" t="s">
        <v>43</v>
      </c>
      <c r="R89" s="74">
        <v>-78502.7</v>
      </c>
      <c r="S89" s="67">
        <f t="shared" si="5"/>
        <v>154144.2</v>
      </c>
      <c r="T89" s="67">
        <v>492047.6</v>
      </c>
      <c r="U89" s="67">
        <f t="shared" si="4"/>
        <v>3.192125295664708</v>
      </c>
    </row>
    <row r="90" spans="1:21" s="75" customFormat="1" ht="15.75" customHeight="1" hidden="1">
      <c r="A90" s="78" t="s">
        <v>73</v>
      </c>
      <c r="B90" s="67">
        <v>117851.2</v>
      </c>
      <c r="C90" s="67">
        <v>36139</v>
      </c>
      <c r="D90" s="68" t="s">
        <v>43</v>
      </c>
      <c r="E90" s="67">
        <v>818.5000000000001</v>
      </c>
      <c r="F90" s="67">
        <v>2040.1</v>
      </c>
      <c r="G90" s="67">
        <v>48.6</v>
      </c>
      <c r="H90" s="69">
        <v>1353.5</v>
      </c>
      <c r="I90" s="67">
        <f t="shared" si="3"/>
        <v>158250.9</v>
      </c>
      <c r="J90" s="70">
        <v>133943.70000000004</v>
      </c>
      <c r="K90" s="67">
        <v>98007.60000000002</v>
      </c>
      <c r="L90" s="68" t="s">
        <v>43</v>
      </c>
      <c r="M90" s="67">
        <v>380.9</v>
      </c>
      <c r="N90" s="67">
        <v>25</v>
      </c>
      <c r="O90" s="71" t="s">
        <v>43</v>
      </c>
      <c r="P90" s="72">
        <v>4617.699999999999</v>
      </c>
      <c r="Q90" s="68" t="s">
        <v>43</v>
      </c>
      <c r="R90" s="74">
        <v>-78724</v>
      </c>
      <c r="S90" s="67">
        <f t="shared" si="5"/>
        <v>158250.90000000005</v>
      </c>
      <c r="T90" s="67">
        <v>505926.30000000005</v>
      </c>
      <c r="U90" s="67">
        <f t="shared" si="4"/>
        <v>3.1969884531462385</v>
      </c>
    </row>
    <row r="91" spans="1:21" s="75" customFormat="1" ht="15.75" customHeight="1" hidden="1">
      <c r="A91" s="78" t="s">
        <v>74</v>
      </c>
      <c r="B91" s="67">
        <v>119216.8</v>
      </c>
      <c r="C91" s="67">
        <v>33282.8</v>
      </c>
      <c r="D91" s="68" t="s">
        <v>43</v>
      </c>
      <c r="E91" s="67">
        <v>686.4000000000001</v>
      </c>
      <c r="F91" s="67">
        <v>1721.9</v>
      </c>
      <c r="G91" s="67">
        <v>76.9</v>
      </c>
      <c r="H91" s="69">
        <v>1329.2</v>
      </c>
      <c r="I91" s="67">
        <f t="shared" si="3"/>
        <v>156314</v>
      </c>
      <c r="J91" s="70">
        <v>129014.59999999998</v>
      </c>
      <c r="K91" s="67">
        <v>103504.70000000001</v>
      </c>
      <c r="L91" s="68" t="s">
        <v>43</v>
      </c>
      <c r="M91" s="67">
        <v>380.9</v>
      </c>
      <c r="N91" s="67">
        <v>25</v>
      </c>
      <c r="O91" s="71" t="s">
        <v>43</v>
      </c>
      <c r="P91" s="72">
        <v>4536.4</v>
      </c>
      <c r="Q91" s="68" t="s">
        <v>43</v>
      </c>
      <c r="R91" s="74">
        <v>-81147.59999999999</v>
      </c>
      <c r="S91" s="67">
        <f t="shared" si="5"/>
        <v>156314</v>
      </c>
      <c r="T91" s="67">
        <v>514112.9</v>
      </c>
      <c r="U91" s="67">
        <f t="shared" si="4"/>
        <v>3.2889753956779306</v>
      </c>
    </row>
    <row r="92" spans="1:21" s="75" customFormat="1" ht="15.75" customHeight="1" hidden="1">
      <c r="A92" s="78" t="s">
        <v>75</v>
      </c>
      <c r="B92" s="67">
        <v>117965.7</v>
      </c>
      <c r="C92" s="67">
        <v>37170.7</v>
      </c>
      <c r="D92" s="68" t="s">
        <v>43</v>
      </c>
      <c r="E92" s="67">
        <v>941.0999999999999</v>
      </c>
      <c r="F92" s="67">
        <v>1724.1</v>
      </c>
      <c r="G92" s="67">
        <v>100.3</v>
      </c>
      <c r="H92" s="69">
        <v>1112.4</v>
      </c>
      <c r="I92" s="67">
        <f t="shared" si="3"/>
        <v>159014.3</v>
      </c>
      <c r="J92" s="70">
        <v>120358.70000000001</v>
      </c>
      <c r="K92" s="67">
        <v>124081.19999999998</v>
      </c>
      <c r="L92" s="68" t="s">
        <v>43</v>
      </c>
      <c r="M92" s="67">
        <v>380.9</v>
      </c>
      <c r="N92" s="67">
        <v>25</v>
      </c>
      <c r="O92" s="71" t="s">
        <v>43</v>
      </c>
      <c r="P92" s="72">
        <v>4468.299999999999</v>
      </c>
      <c r="Q92" s="73">
        <v>-6000</v>
      </c>
      <c r="R92" s="74">
        <v>-84299.8</v>
      </c>
      <c r="S92" s="67">
        <f t="shared" si="5"/>
        <v>159014.3</v>
      </c>
      <c r="T92" s="67">
        <v>509232.3</v>
      </c>
      <c r="U92" s="67">
        <f t="shared" si="4"/>
        <v>3.2024308505587236</v>
      </c>
    </row>
    <row r="93" spans="1:21" s="75" customFormat="1" ht="15.75" customHeight="1" hidden="1">
      <c r="A93" s="78" t="s">
        <v>78</v>
      </c>
      <c r="B93" s="67">
        <v>136206.2</v>
      </c>
      <c r="C93" s="67">
        <v>53891.1</v>
      </c>
      <c r="D93" s="68" t="s">
        <v>43</v>
      </c>
      <c r="E93" s="67">
        <v>1014.1</v>
      </c>
      <c r="F93" s="67">
        <v>6100.8</v>
      </c>
      <c r="G93" s="67">
        <v>29.2</v>
      </c>
      <c r="H93" s="69">
        <v>901.8</v>
      </c>
      <c r="I93" s="67">
        <f t="shared" si="3"/>
        <v>198143.2</v>
      </c>
      <c r="J93" s="70">
        <v>144966.20000000007</v>
      </c>
      <c r="K93" s="67">
        <v>167752.20000000004</v>
      </c>
      <c r="L93" s="68" t="s">
        <v>43</v>
      </c>
      <c r="M93" s="67">
        <v>380.9</v>
      </c>
      <c r="N93" s="67">
        <v>20</v>
      </c>
      <c r="O93" s="71" t="s">
        <v>43</v>
      </c>
      <c r="P93" s="72">
        <v>4342.7</v>
      </c>
      <c r="Q93" s="73">
        <v>-10000</v>
      </c>
      <c r="R93" s="74">
        <v>-109318.79999999999</v>
      </c>
      <c r="S93" s="67">
        <f t="shared" si="5"/>
        <v>198143.20000000013</v>
      </c>
      <c r="T93" s="67">
        <v>565309.9</v>
      </c>
      <c r="U93" s="67">
        <f t="shared" si="4"/>
        <v>2.8530370964030056</v>
      </c>
    </row>
    <row r="94" spans="1:21" s="75" customFormat="1" ht="15.75" customHeight="1" hidden="1">
      <c r="A94" s="78"/>
      <c r="B94" s="67"/>
      <c r="C94" s="67"/>
      <c r="D94" s="68"/>
      <c r="E94" s="67"/>
      <c r="F94" s="67"/>
      <c r="G94" s="67"/>
      <c r="H94" s="69"/>
      <c r="I94" s="67"/>
      <c r="J94" s="70"/>
      <c r="K94" s="67"/>
      <c r="L94" s="68"/>
      <c r="M94" s="67"/>
      <c r="N94" s="67"/>
      <c r="O94" s="71"/>
      <c r="P94" s="72"/>
      <c r="Q94" s="73"/>
      <c r="R94" s="74"/>
      <c r="S94" s="67"/>
      <c r="T94" s="67"/>
      <c r="U94" s="67"/>
    </row>
    <row r="95" spans="1:21" s="75" customFormat="1" ht="15.75" customHeight="1" hidden="1">
      <c r="A95" s="78" t="s">
        <v>52</v>
      </c>
      <c r="B95" s="67">
        <v>124469.1</v>
      </c>
      <c r="C95" s="67">
        <v>44898.4</v>
      </c>
      <c r="D95" s="68" t="s">
        <v>43</v>
      </c>
      <c r="E95" s="67">
        <v>721.3</v>
      </c>
      <c r="F95" s="67">
        <v>3451.6000000000004</v>
      </c>
      <c r="G95" s="67">
        <v>35</v>
      </c>
      <c r="H95" s="69">
        <v>778.3</v>
      </c>
      <c r="I95" s="67">
        <f t="shared" si="3"/>
        <v>174353.7</v>
      </c>
      <c r="J95" s="70">
        <v>153042.50000000006</v>
      </c>
      <c r="K95" s="67">
        <v>117407.90000000002</v>
      </c>
      <c r="L95" s="68" t="s">
        <v>43</v>
      </c>
      <c r="M95" s="67">
        <v>380.9</v>
      </c>
      <c r="N95" s="67">
        <v>20</v>
      </c>
      <c r="O95" s="71" t="s">
        <v>43</v>
      </c>
      <c r="P95" s="72">
        <v>5185.9</v>
      </c>
      <c r="Q95" s="73">
        <v>-20000</v>
      </c>
      <c r="R95" s="74">
        <v>-81683.5</v>
      </c>
      <c r="S95" s="67">
        <f t="shared" si="5"/>
        <v>174353.70000000007</v>
      </c>
      <c r="T95" s="67">
        <v>550236.5</v>
      </c>
      <c r="U95" s="67">
        <f t="shared" si="4"/>
        <v>3.1558636266394116</v>
      </c>
    </row>
    <row r="96" spans="1:21" s="75" customFormat="1" ht="15.75" customHeight="1" hidden="1">
      <c r="A96" s="78" t="s">
        <v>79</v>
      </c>
      <c r="B96" s="67">
        <v>125950.7</v>
      </c>
      <c r="C96" s="67">
        <v>41712.1</v>
      </c>
      <c r="D96" s="68" t="s">
        <v>43</v>
      </c>
      <c r="E96" s="67">
        <v>1912.9999999999998</v>
      </c>
      <c r="F96" s="67">
        <v>1645.8999999999999</v>
      </c>
      <c r="G96" s="67">
        <v>58.4</v>
      </c>
      <c r="H96" s="69">
        <v>1143.8</v>
      </c>
      <c r="I96" s="67">
        <f t="shared" si="3"/>
        <v>172423.9</v>
      </c>
      <c r="J96" s="76">
        <v>150227.50000000003</v>
      </c>
      <c r="K96" s="67">
        <v>117857.3</v>
      </c>
      <c r="L96" s="68" t="s">
        <v>43</v>
      </c>
      <c r="M96" s="67">
        <v>380.9</v>
      </c>
      <c r="N96" s="67">
        <v>20</v>
      </c>
      <c r="O96" s="71" t="s">
        <v>43</v>
      </c>
      <c r="P96" s="72">
        <v>5109.2</v>
      </c>
      <c r="Q96" s="73">
        <v>-16000</v>
      </c>
      <c r="R96" s="74">
        <v>-85170.99999999999</v>
      </c>
      <c r="S96" s="67">
        <f t="shared" si="5"/>
        <v>172423.90000000002</v>
      </c>
      <c r="T96" s="67">
        <v>555905.1000000001</v>
      </c>
      <c r="U96" s="67">
        <f t="shared" si="4"/>
        <v>3.2240605855684747</v>
      </c>
    </row>
    <row r="97" spans="1:21" s="75" customFormat="1" ht="15.75" customHeight="1" hidden="1">
      <c r="A97" s="78" t="s">
        <v>56</v>
      </c>
      <c r="B97" s="67">
        <v>125349.6</v>
      </c>
      <c r="C97" s="67">
        <v>26586.199999999997</v>
      </c>
      <c r="D97" s="68" t="s">
        <v>43</v>
      </c>
      <c r="E97" s="67">
        <v>707.1</v>
      </c>
      <c r="F97" s="67">
        <v>2048.3</v>
      </c>
      <c r="G97" s="67">
        <v>77.4</v>
      </c>
      <c r="H97" s="69">
        <v>590.6</v>
      </c>
      <c r="I97" s="67">
        <f t="shared" si="3"/>
        <v>155359.19999999998</v>
      </c>
      <c r="J97" s="76">
        <v>136213.69999999992</v>
      </c>
      <c r="K97" s="67">
        <v>123302.19999999998</v>
      </c>
      <c r="L97" s="68" t="s">
        <v>43</v>
      </c>
      <c r="M97" s="67">
        <v>380.9</v>
      </c>
      <c r="N97" s="67">
        <v>20</v>
      </c>
      <c r="O97" s="71" t="s">
        <v>43</v>
      </c>
      <c r="P97" s="72">
        <v>5051.9</v>
      </c>
      <c r="Q97" s="73">
        <v>-22100</v>
      </c>
      <c r="R97" s="74">
        <v>-87509.5</v>
      </c>
      <c r="S97" s="67">
        <f t="shared" si="5"/>
        <v>155359.1999999999</v>
      </c>
      <c r="T97" s="67">
        <v>572007.5999999999</v>
      </c>
      <c r="U97" s="67">
        <f t="shared" si="4"/>
        <v>3.6818392473699655</v>
      </c>
    </row>
    <row r="98" spans="1:21" s="75" customFormat="1" ht="15.75" customHeight="1" hidden="1">
      <c r="A98" s="78" t="s">
        <v>80</v>
      </c>
      <c r="B98" s="67">
        <v>127864.3</v>
      </c>
      <c r="C98" s="67">
        <v>42278.6</v>
      </c>
      <c r="D98" s="68" t="s">
        <v>43</v>
      </c>
      <c r="E98" s="67">
        <v>2281</v>
      </c>
      <c r="F98" s="67">
        <v>2970.8</v>
      </c>
      <c r="G98" s="67">
        <v>53</v>
      </c>
      <c r="H98" s="69">
        <v>722.2</v>
      </c>
      <c r="I98" s="67">
        <f t="shared" si="3"/>
        <v>176169.9</v>
      </c>
      <c r="J98" s="76">
        <v>124940.20000000007</v>
      </c>
      <c r="K98" s="67">
        <v>140275.89999999997</v>
      </c>
      <c r="L98" s="68" t="s">
        <v>43</v>
      </c>
      <c r="M98" s="67">
        <v>380.9</v>
      </c>
      <c r="N98" s="67">
        <v>20</v>
      </c>
      <c r="O98" s="71" t="s">
        <v>43</v>
      </c>
      <c r="P98" s="72">
        <v>5048.7</v>
      </c>
      <c r="Q98" s="73">
        <v>-10000</v>
      </c>
      <c r="R98" s="74">
        <v>-84495.80000000002</v>
      </c>
      <c r="S98" s="67">
        <f t="shared" si="5"/>
        <v>176169.90000000002</v>
      </c>
      <c r="T98" s="67">
        <v>572238.1000000001</v>
      </c>
      <c r="U98" s="67">
        <f t="shared" si="4"/>
        <v>3.2482172039604955</v>
      </c>
    </row>
    <row r="99" spans="1:21" s="75" customFormat="1" ht="15.75" customHeight="1" hidden="1">
      <c r="A99" s="78" t="s">
        <v>81</v>
      </c>
      <c r="B99" s="67">
        <v>130114.6</v>
      </c>
      <c r="C99" s="67">
        <v>15889</v>
      </c>
      <c r="D99" s="68" t="s">
        <v>43</v>
      </c>
      <c r="E99" s="67">
        <v>2142.3</v>
      </c>
      <c r="F99" s="67">
        <v>3033.4</v>
      </c>
      <c r="G99" s="67">
        <v>40.6</v>
      </c>
      <c r="H99" s="69">
        <v>557.7</v>
      </c>
      <c r="I99" s="67">
        <f t="shared" si="3"/>
        <v>151777.6</v>
      </c>
      <c r="J99" s="76">
        <v>110538.00000000006</v>
      </c>
      <c r="K99" s="67">
        <v>123904.30000000002</v>
      </c>
      <c r="L99" s="68" t="s">
        <v>43</v>
      </c>
      <c r="M99" s="67">
        <v>380.9</v>
      </c>
      <c r="N99" s="67">
        <v>20</v>
      </c>
      <c r="O99" s="71" t="s">
        <v>43</v>
      </c>
      <c r="P99" s="72">
        <v>4993.099999999999</v>
      </c>
      <c r="Q99" s="68" t="s">
        <v>43</v>
      </c>
      <c r="R99" s="74">
        <v>-88058.7</v>
      </c>
      <c r="S99" s="67">
        <f t="shared" si="5"/>
        <v>151777.6000000001</v>
      </c>
      <c r="T99" s="67">
        <v>559245.8</v>
      </c>
      <c r="U99" s="67">
        <f t="shared" si="4"/>
        <v>3.6846398941609304</v>
      </c>
    </row>
    <row r="100" spans="1:21" s="75" customFormat="1" ht="15.75" customHeight="1" hidden="1">
      <c r="A100" s="78" t="s">
        <v>82</v>
      </c>
      <c r="B100" s="67">
        <v>147647.5</v>
      </c>
      <c r="C100" s="67">
        <v>21971.5</v>
      </c>
      <c r="D100" s="67">
        <v>0.491</v>
      </c>
      <c r="E100" s="67">
        <v>1973</v>
      </c>
      <c r="F100" s="67">
        <v>2936</v>
      </c>
      <c r="G100" s="67">
        <v>23.6</v>
      </c>
      <c r="H100" s="69">
        <v>883.109</v>
      </c>
      <c r="I100" s="67">
        <f t="shared" si="3"/>
        <v>175435.2</v>
      </c>
      <c r="J100" s="76">
        <v>94137.99999999997</v>
      </c>
      <c r="K100" s="67">
        <v>149157.60000000003</v>
      </c>
      <c r="L100" s="68" t="s">
        <v>43</v>
      </c>
      <c r="M100" s="67">
        <v>380.9</v>
      </c>
      <c r="N100" s="67">
        <v>20</v>
      </c>
      <c r="O100" s="71" t="s">
        <v>43</v>
      </c>
      <c r="P100" s="72">
        <v>4893.7</v>
      </c>
      <c r="Q100" s="68" t="s">
        <v>43</v>
      </c>
      <c r="R100" s="74">
        <v>-73155</v>
      </c>
      <c r="S100" s="67">
        <f t="shared" si="5"/>
        <v>175435.2</v>
      </c>
      <c r="T100" s="67">
        <v>599322.1</v>
      </c>
      <c r="U100" s="67">
        <f t="shared" si="4"/>
        <v>3.416202107672804</v>
      </c>
    </row>
    <row r="101" spans="1:21" s="75" customFormat="1" ht="15.75" customHeight="1" hidden="1">
      <c r="A101" s="78" t="s">
        <v>83</v>
      </c>
      <c r="B101" s="67">
        <v>163191.5</v>
      </c>
      <c r="C101" s="67">
        <v>23739.5</v>
      </c>
      <c r="D101" s="67">
        <v>50.491</v>
      </c>
      <c r="E101" s="67">
        <v>1612.3</v>
      </c>
      <c r="F101" s="67">
        <v>3851.2</v>
      </c>
      <c r="G101" s="67">
        <v>31</v>
      </c>
      <c r="H101" s="69">
        <v>432.509</v>
      </c>
      <c r="I101" s="67">
        <f t="shared" si="3"/>
        <v>192908.5</v>
      </c>
      <c r="J101" s="76">
        <v>91739.90000000002</v>
      </c>
      <c r="K101" s="67">
        <v>167573.5</v>
      </c>
      <c r="L101" s="68" t="s">
        <v>43</v>
      </c>
      <c r="M101" s="67">
        <v>380.9</v>
      </c>
      <c r="N101" s="67">
        <v>20</v>
      </c>
      <c r="O101" s="71" t="s">
        <v>43</v>
      </c>
      <c r="P101" s="72">
        <v>4854.099999999999</v>
      </c>
      <c r="Q101" s="68" t="s">
        <v>43</v>
      </c>
      <c r="R101" s="74">
        <v>-71659.9</v>
      </c>
      <c r="S101" s="67">
        <f t="shared" si="5"/>
        <v>192908.50000000003</v>
      </c>
      <c r="T101" s="67">
        <v>628333.3</v>
      </c>
      <c r="U101" s="67">
        <f t="shared" si="4"/>
        <v>3.2571571496331164</v>
      </c>
    </row>
    <row r="102" spans="1:21" s="75" customFormat="1" ht="15.75" customHeight="1" hidden="1">
      <c r="A102" s="78" t="s">
        <v>85</v>
      </c>
      <c r="B102" s="67">
        <v>156374.2</v>
      </c>
      <c r="C102" s="67">
        <v>31485.7</v>
      </c>
      <c r="D102" s="67">
        <v>200.491</v>
      </c>
      <c r="E102" s="67">
        <v>1069.3000000000002</v>
      </c>
      <c r="F102" s="67">
        <v>3228.5799999999995</v>
      </c>
      <c r="G102" s="67">
        <v>38.2</v>
      </c>
      <c r="H102" s="69">
        <v>563.7090000000001</v>
      </c>
      <c r="I102" s="67">
        <f t="shared" si="3"/>
        <v>192960.18000000002</v>
      </c>
      <c r="J102" s="76">
        <v>83653</v>
      </c>
      <c r="K102" s="67">
        <v>162905.58000000002</v>
      </c>
      <c r="L102" s="67">
        <v>598.6</v>
      </c>
      <c r="M102" s="67">
        <v>380.9</v>
      </c>
      <c r="N102" s="67">
        <v>20</v>
      </c>
      <c r="O102" s="71" t="s">
        <v>43</v>
      </c>
      <c r="P102" s="72">
        <v>4806.8</v>
      </c>
      <c r="Q102" s="68" t="s">
        <v>43</v>
      </c>
      <c r="R102" s="74">
        <v>-59404.700000000004</v>
      </c>
      <c r="S102" s="67">
        <f t="shared" si="5"/>
        <v>192960.18000000002</v>
      </c>
      <c r="T102" s="67">
        <v>635999.1799999999</v>
      </c>
      <c r="U102" s="67">
        <f t="shared" si="4"/>
        <v>3.296012576273508</v>
      </c>
    </row>
    <row r="103" spans="1:21" s="75" customFormat="1" ht="15.75" customHeight="1" hidden="1">
      <c r="A103" s="78" t="s">
        <v>86</v>
      </c>
      <c r="B103" s="67">
        <v>149317.2</v>
      </c>
      <c r="C103" s="67">
        <v>30479.4</v>
      </c>
      <c r="D103" s="67">
        <v>200.491</v>
      </c>
      <c r="E103" s="67">
        <v>1908.1999999999998</v>
      </c>
      <c r="F103" s="67">
        <v>1770.6000000000001</v>
      </c>
      <c r="G103" s="67">
        <v>19.4</v>
      </c>
      <c r="H103" s="69">
        <v>570.7090000000001</v>
      </c>
      <c r="I103" s="67">
        <f t="shared" si="3"/>
        <v>184266</v>
      </c>
      <c r="J103" s="76">
        <v>69547.10000000003</v>
      </c>
      <c r="K103" s="67">
        <v>171436.9</v>
      </c>
      <c r="L103" s="68" t="s">
        <v>43</v>
      </c>
      <c r="M103" s="67">
        <v>380.9</v>
      </c>
      <c r="N103" s="67">
        <v>20</v>
      </c>
      <c r="O103" s="71" t="s">
        <v>43</v>
      </c>
      <c r="P103" s="72">
        <v>4817.199999999999</v>
      </c>
      <c r="Q103" s="73">
        <v>-2000</v>
      </c>
      <c r="R103" s="74">
        <v>-59936.100000000006</v>
      </c>
      <c r="S103" s="67">
        <f t="shared" si="5"/>
        <v>184266.00000000003</v>
      </c>
      <c r="T103" s="67">
        <v>637143.3</v>
      </c>
      <c r="U103" s="67">
        <f t="shared" si="4"/>
        <v>3.4577366415942175</v>
      </c>
    </row>
    <row r="104" spans="1:21" s="75" customFormat="1" ht="15.75" customHeight="1" hidden="1">
      <c r="A104" s="78" t="s">
        <v>87</v>
      </c>
      <c r="B104" s="67">
        <v>145288.6</v>
      </c>
      <c r="C104" s="67">
        <v>15265.400000000001</v>
      </c>
      <c r="D104" s="67">
        <v>0.491</v>
      </c>
      <c r="E104" s="67">
        <v>2831.3</v>
      </c>
      <c r="F104" s="67">
        <v>954.4999999999999</v>
      </c>
      <c r="G104" s="67">
        <v>16.5</v>
      </c>
      <c r="H104" s="69">
        <v>677.809</v>
      </c>
      <c r="I104" s="67">
        <f t="shared" si="3"/>
        <v>165034.6</v>
      </c>
      <c r="J104" s="76">
        <v>66483.80000000005</v>
      </c>
      <c r="K104" s="67">
        <v>149463.90000000002</v>
      </c>
      <c r="L104" s="67">
        <v>3740.2</v>
      </c>
      <c r="M104" s="67">
        <v>380.9</v>
      </c>
      <c r="N104" s="67">
        <v>20</v>
      </c>
      <c r="O104" s="71" t="s">
        <v>43</v>
      </c>
      <c r="P104" s="72">
        <v>4696.4</v>
      </c>
      <c r="Q104" s="68" t="s">
        <v>43</v>
      </c>
      <c r="R104" s="74">
        <v>-59750.600000000006</v>
      </c>
      <c r="S104" s="67">
        <f t="shared" si="5"/>
        <v>165034.60000000006</v>
      </c>
      <c r="T104" s="67">
        <v>628055.3</v>
      </c>
      <c r="U104" s="67">
        <f t="shared" si="4"/>
        <v>3.8055977352627877</v>
      </c>
    </row>
    <row r="105" spans="1:21" s="75" customFormat="1" ht="15.75" customHeight="1" hidden="1">
      <c r="A105" s="78" t="s">
        <v>88</v>
      </c>
      <c r="B105" s="67">
        <v>143026.9</v>
      </c>
      <c r="C105" s="67">
        <v>31831.5</v>
      </c>
      <c r="D105" s="67">
        <v>100.5</v>
      </c>
      <c r="E105" s="67">
        <v>3638.7</v>
      </c>
      <c r="F105" s="67">
        <v>1518.6</v>
      </c>
      <c r="G105" s="67">
        <v>22</v>
      </c>
      <c r="H105" s="69">
        <v>575.409</v>
      </c>
      <c r="I105" s="67">
        <f t="shared" si="3"/>
        <v>180713.609</v>
      </c>
      <c r="J105" s="76">
        <v>74650.30000000005</v>
      </c>
      <c r="K105" s="67">
        <v>164159.80000000002</v>
      </c>
      <c r="L105" s="68" t="s">
        <v>43</v>
      </c>
      <c r="M105" s="67">
        <v>380.9</v>
      </c>
      <c r="N105" s="67">
        <v>20</v>
      </c>
      <c r="O105" s="71" t="s">
        <v>43</v>
      </c>
      <c r="P105" s="72">
        <v>4573</v>
      </c>
      <c r="Q105" s="68" t="s">
        <v>43</v>
      </c>
      <c r="R105" s="74">
        <v>-63070.4</v>
      </c>
      <c r="S105" s="67">
        <f t="shared" si="5"/>
        <v>180713.60000000006</v>
      </c>
      <c r="T105" s="67">
        <v>640335.809</v>
      </c>
      <c r="U105" s="67">
        <f t="shared" si="4"/>
        <v>3.543373476648347</v>
      </c>
    </row>
    <row r="106" spans="1:21" s="75" customFormat="1" ht="15.75" customHeight="1" hidden="1">
      <c r="A106" s="78" t="s">
        <v>89</v>
      </c>
      <c r="B106" s="67">
        <v>155835.2</v>
      </c>
      <c r="C106" s="67">
        <v>47450.5</v>
      </c>
      <c r="D106" s="67">
        <v>2738.884497</v>
      </c>
      <c r="E106" s="67">
        <v>1428</v>
      </c>
      <c r="F106" s="67">
        <v>3735.6</v>
      </c>
      <c r="G106" s="67">
        <v>28.6</v>
      </c>
      <c r="H106" s="69">
        <v>422.0155030000001</v>
      </c>
      <c r="I106" s="67">
        <f t="shared" si="3"/>
        <v>211638.80000000002</v>
      </c>
      <c r="J106" s="59">
        <v>141613.59999999998</v>
      </c>
      <c r="K106" s="67">
        <v>150905.3</v>
      </c>
      <c r="L106" s="68" t="s">
        <v>43</v>
      </c>
      <c r="M106" s="67">
        <v>380.9</v>
      </c>
      <c r="N106" s="67">
        <v>20</v>
      </c>
      <c r="O106" s="72" t="s">
        <v>43</v>
      </c>
      <c r="P106" s="72">
        <v>4671.999999999999</v>
      </c>
      <c r="Q106" s="73">
        <v>-7000</v>
      </c>
      <c r="R106" s="74">
        <v>-78953</v>
      </c>
      <c r="S106" s="67">
        <f t="shared" si="5"/>
        <v>211638.79999999996</v>
      </c>
      <c r="T106" s="67">
        <v>706363.915503</v>
      </c>
      <c r="U106" s="67">
        <f t="shared" si="4"/>
        <v>3.3375917624887306</v>
      </c>
    </row>
    <row r="107" spans="1:21" s="75" customFormat="1" ht="15.75" customHeight="1" hidden="1">
      <c r="A107" s="78"/>
      <c r="B107" s="67"/>
      <c r="C107" s="67"/>
      <c r="D107" s="67"/>
      <c r="E107" s="67"/>
      <c r="F107" s="67"/>
      <c r="G107" s="67"/>
      <c r="H107" s="69"/>
      <c r="I107" s="67"/>
      <c r="J107" s="59"/>
      <c r="K107" s="67"/>
      <c r="L107" s="68"/>
      <c r="M107" s="67"/>
      <c r="N107" s="67"/>
      <c r="O107" s="72"/>
      <c r="P107" s="72"/>
      <c r="Q107" s="73"/>
      <c r="R107" s="74"/>
      <c r="S107" s="67"/>
      <c r="T107" s="67"/>
      <c r="U107" s="67"/>
    </row>
    <row r="108" spans="1:21" s="75" customFormat="1" ht="15.75" customHeight="1" hidden="1">
      <c r="A108" s="78" t="s">
        <v>66</v>
      </c>
      <c r="B108" s="67">
        <v>145536.5</v>
      </c>
      <c r="C108" s="67">
        <v>43841.1</v>
      </c>
      <c r="D108" s="67">
        <v>135.918432</v>
      </c>
      <c r="E108" s="67">
        <v>512.7</v>
      </c>
      <c r="F108" s="67">
        <v>1078.5</v>
      </c>
      <c r="G108" s="67">
        <v>56</v>
      </c>
      <c r="H108" s="69">
        <v>742.381568</v>
      </c>
      <c r="I108" s="67">
        <f t="shared" si="3"/>
        <v>191903.1</v>
      </c>
      <c r="J108" s="76">
        <v>131446.90000000002</v>
      </c>
      <c r="K108" s="67">
        <v>126919.59999999999</v>
      </c>
      <c r="L108" s="68" t="s">
        <v>43</v>
      </c>
      <c r="M108" s="67">
        <v>380.9</v>
      </c>
      <c r="N108" s="67">
        <v>20</v>
      </c>
      <c r="O108" s="71" t="s">
        <v>43</v>
      </c>
      <c r="P108" s="72">
        <v>5574.399999999999</v>
      </c>
      <c r="Q108" s="73">
        <v>-8500</v>
      </c>
      <c r="R108" s="74">
        <v>-63938.7</v>
      </c>
      <c r="S108" s="67">
        <f t="shared" si="5"/>
        <v>191903.1</v>
      </c>
      <c r="T108" s="67">
        <v>670982.581568</v>
      </c>
      <c r="U108" s="67">
        <f t="shared" si="4"/>
        <v>3.496465568133084</v>
      </c>
    </row>
    <row r="109" spans="1:21" s="75" customFormat="1" ht="15.75" customHeight="1" hidden="1">
      <c r="A109" s="78" t="s">
        <v>90</v>
      </c>
      <c r="B109" s="67">
        <v>144843.3</v>
      </c>
      <c r="C109" s="67">
        <v>28928.1</v>
      </c>
      <c r="D109" s="67">
        <v>543</v>
      </c>
      <c r="E109" s="67">
        <v>1155.7999999999997</v>
      </c>
      <c r="F109" s="67">
        <v>1490.1</v>
      </c>
      <c r="G109" s="67">
        <v>36.7</v>
      </c>
      <c r="H109" s="69">
        <v>731</v>
      </c>
      <c r="I109" s="67">
        <f t="shared" si="3"/>
        <v>177728</v>
      </c>
      <c r="J109" s="76">
        <v>156264.40000000002</v>
      </c>
      <c r="K109" s="67">
        <v>83321.1</v>
      </c>
      <c r="L109" s="67">
        <v>1723.4</v>
      </c>
      <c r="M109" s="67">
        <v>380.9</v>
      </c>
      <c r="N109" s="67">
        <v>20</v>
      </c>
      <c r="O109" s="71" t="s">
        <v>43</v>
      </c>
      <c r="P109" s="72">
        <v>5574.599999999999</v>
      </c>
      <c r="Q109" s="73">
        <v>-3000</v>
      </c>
      <c r="R109" s="74">
        <v>-66556.4</v>
      </c>
      <c r="S109" s="67">
        <f t="shared" si="5"/>
        <v>177728.00000000003</v>
      </c>
      <c r="T109" s="67">
        <v>671842.2</v>
      </c>
      <c r="U109" s="67">
        <f t="shared" si="4"/>
        <v>3.7801708228303923</v>
      </c>
    </row>
    <row r="110" spans="1:21" s="75" customFormat="1" ht="15.75" customHeight="1" hidden="1">
      <c r="A110" s="78" t="s">
        <v>68</v>
      </c>
      <c r="B110" s="67">
        <v>149827.1</v>
      </c>
      <c r="C110" s="67">
        <v>39367.200000000004</v>
      </c>
      <c r="D110" s="67">
        <v>398.983712</v>
      </c>
      <c r="E110" s="67">
        <v>611.6</v>
      </c>
      <c r="F110" s="67">
        <v>2831.0000000000005</v>
      </c>
      <c r="G110" s="67">
        <v>92.9</v>
      </c>
      <c r="H110" s="69">
        <v>1004.016288</v>
      </c>
      <c r="I110" s="67">
        <f t="shared" si="3"/>
        <v>194132.8</v>
      </c>
      <c r="J110" s="76">
        <v>143339.09999999998</v>
      </c>
      <c r="K110" s="67">
        <v>111050.6</v>
      </c>
      <c r="L110" s="67">
        <v>3410.3</v>
      </c>
      <c r="M110" s="67">
        <v>380.9</v>
      </c>
      <c r="N110" s="67">
        <v>20</v>
      </c>
      <c r="O110" s="71" t="s">
        <v>43</v>
      </c>
      <c r="P110" s="72">
        <v>5495.999999999999</v>
      </c>
      <c r="Q110" s="73">
        <v>-4500</v>
      </c>
      <c r="R110" s="74">
        <v>-65064.1</v>
      </c>
      <c r="S110" s="67">
        <f t="shared" si="5"/>
        <v>194132.8</v>
      </c>
      <c r="T110" s="67">
        <v>692784.316288</v>
      </c>
      <c r="U110" s="67">
        <f t="shared" si="4"/>
        <v>3.568610334204215</v>
      </c>
    </row>
    <row r="111" spans="1:21" s="75" customFormat="1" ht="15.75" customHeight="1" hidden="1">
      <c r="A111" s="78" t="s">
        <v>41</v>
      </c>
      <c r="B111" s="67">
        <v>154603.9</v>
      </c>
      <c r="C111" s="67">
        <v>34054.1</v>
      </c>
      <c r="D111" s="67">
        <v>647.1</v>
      </c>
      <c r="E111" s="67">
        <v>591.6</v>
      </c>
      <c r="F111" s="67">
        <v>6855.900000000001</v>
      </c>
      <c r="G111" s="67">
        <v>47.3</v>
      </c>
      <c r="H111" s="69">
        <v>872.3000000000001</v>
      </c>
      <c r="I111" s="67">
        <f t="shared" si="3"/>
        <v>197672.19999999998</v>
      </c>
      <c r="J111" s="76">
        <v>151581.59999999998</v>
      </c>
      <c r="K111" s="67">
        <v>102644.49999999999</v>
      </c>
      <c r="L111" s="67">
        <v>4017</v>
      </c>
      <c r="M111" s="67">
        <v>380.9</v>
      </c>
      <c r="N111" s="67">
        <v>20</v>
      </c>
      <c r="O111" s="71" t="s">
        <v>43</v>
      </c>
      <c r="P111" s="72">
        <v>5481.799999999999</v>
      </c>
      <c r="Q111" s="68" t="s">
        <v>43</v>
      </c>
      <c r="R111" s="74">
        <v>-66453.6</v>
      </c>
      <c r="S111" s="67">
        <f t="shared" si="5"/>
        <v>197672.19999999995</v>
      </c>
      <c r="T111" s="67">
        <v>699305.0000000001</v>
      </c>
      <c r="U111" s="67">
        <f t="shared" si="4"/>
        <v>3.5377002937185917</v>
      </c>
    </row>
    <row r="112" spans="1:21" s="75" customFormat="1" ht="15.75" customHeight="1" hidden="1">
      <c r="A112" s="78" t="s">
        <v>42</v>
      </c>
      <c r="B112" s="67">
        <v>159225.3</v>
      </c>
      <c r="C112" s="67">
        <v>26890.299999999996</v>
      </c>
      <c r="D112" s="67">
        <v>398.983712</v>
      </c>
      <c r="E112" s="67">
        <v>968.9000000000001</v>
      </c>
      <c r="F112" s="67">
        <v>4582.9</v>
      </c>
      <c r="G112" s="67">
        <v>124.5</v>
      </c>
      <c r="H112" s="69">
        <v>765.016288</v>
      </c>
      <c r="I112" s="67">
        <f t="shared" si="3"/>
        <v>192955.89999999997</v>
      </c>
      <c r="J112" s="76">
        <v>145435.50000000006</v>
      </c>
      <c r="K112" s="67">
        <v>101140.19999999998</v>
      </c>
      <c r="L112" s="67">
        <v>8670.3</v>
      </c>
      <c r="M112" s="67">
        <v>380.9</v>
      </c>
      <c r="N112" s="67">
        <v>20</v>
      </c>
      <c r="O112" s="71" t="s">
        <v>43</v>
      </c>
      <c r="P112" s="72">
        <v>5605.9</v>
      </c>
      <c r="Q112" s="68" t="s">
        <v>43</v>
      </c>
      <c r="R112" s="74">
        <v>-68296.90000000001</v>
      </c>
      <c r="S112" s="67">
        <f t="shared" si="5"/>
        <v>192955.90000000002</v>
      </c>
      <c r="T112" s="67">
        <v>704920.1162879999</v>
      </c>
      <c r="U112" s="67">
        <f t="shared" si="4"/>
        <v>3.6532705985564577</v>
      </c>
    </row>
    <row r="113" spans="1:21" s="75" customFormat="1" ht="15.75" customHeight="1" hidden="1">
      <c r="A113" s="78" t="s">
        <v>72</v>
      </c>
      <c r="B113" s="67">
        <v>172348.7</v>
      </c>
      <c r="C113" s="67">
        <v>27532.100000000002</v>
      </c>
      <c r="D113" s="67">
        <v>4490.491275</v>
      </c>
      <c r="E113" s="67">
        <v>1167.8999999999999</v>
      </c>
      <c r="F113" s="67">
        <v>4553.099999999999</v>
      </c>
      <c r="G113" s="67">
        <v>97</v>
      </c>
      <c r="H113" s="69">
        <v>801.5087249999997</v>
      </c>
      <c r="I113" s="67">
        <f t="shared" si="3"/>
        <v>210990.80000000002</v>
      </c>
      <c r="J113" s="76">
        <v>133383.10000000003</v>
      </c>
      <c r="K113" s="67">
        <v>115763.80000000005</v>
      </c>
      <c r="L113" s="67">
        <v>21978.1</v>
      </c>
      <c r="M113" s="67">
        <v>380.9</v>
      </c>
      <c r="N113" s="67">
        <v>20</v>
      </c>
      <c r="O113" s="71" t="s">
        <v>43</v>
      </c>
      <c r="P113" s="72">
        <v>5860.2</v>
      </c>
      <c r="Q113" s="68" t="s">
        <v>43</v>
      </c>
      <c r="R113" s="74">
        <v>-66395.3</v>
      </c>
      <c r="S113" s="67">
        <f t="shared" si="5"/>
        <v>210990.80000000008</v>
      </c>
      <c r="T113" s="67">
        <v>728615.808725</v>
      </c>
      <c r="U113" s="67">
        <f t="shared" si="4"/>
        <v>3.4533060622785445</v>
      </c>
    </row>
    <row r="114" spans="1:21" s="75" customFormat="1" ht="15.75" customHeight="1" hidden="1">
      <c r="A114" s="78" t="s">
        <v>76</v>
      </c>
      <c r="B114" s="67">
        <v>186362</v>
      </c>
      <c r="C114" s="67">
        <v>25164.7</v>
      </c>
      <c r="D114" s="67">
        <v>4881.352691</v>
      </c>
      <c r="E114" s="67">
        <v>913</v>
      </c>
      <c r="F114" s="67">
        <v>7643.699999999998</v>
      </c>
      <c r="G114" s="67">
        <v>97.7</v>
      </c>
      <c r="H114" s="69">
        <v>562.9473090000001</v>
      </c>
      <c r="I114" s="67">
        <f t="shared" si="3"/>
        <v>225625.40000000002</v>
      </c>
      <c r="J114" s="76">
        <v>119995.09999999998</v>
      </c>
      <c r="K114" s="67">
        <v>140073</v>
      </c>
      <c r="L114" s="67">
        <v>28323</v>
      </c>
      <c r="M114" s="67">
        <v>380.9</v>
      </c>
      <c r="N114" s="67">
        <v>20</v>
      </c>
      <c r="O114" s="71" t="s">
        <v>43</v>
      </c>
      <c r="P114" s="72">
        <v>5863.3</v>
      </c>
      <c r="Q114" s="68" t="s">
        <v>43</v>
      </c>
      <c r="R114" s="74">
        <v>-69029.9</v>
      </c>
      <c r="S114" s="67">
        <f t="shared" si="5"/>
        <v>225625.4</v>
      </c>
      <c r="T114" s="67">
        <v>763394.208420111</v>
      </c>
      <c r="U114" s="67">
        <f t="shared" si="4"/>
        <v>3.383458637281578</v>
      </c>
    </row>
    <row r="115" spans="1:21" s="75" customFormat="1" ht="15.75" customHeight="1" hidden="1">
      <c r="A115" s="78" t="s">
        <v>77</v>
      </c>
      <c r="B115" s="67">
        <v>180063.1</v>
      </c>
      <c r="C115" s="67">
        <v>37662.4</v>
      </c>
      <c r="D115" s="67">
        <v>181.68308100000002</v>
      </c>
      <c r="E115" s="67">
        <v>1275.4</v>
      </c>
      <c r="F115" s="67">
        <v>1958.6</v>
      </c>
      <c r="G115" s="67">
        <v>83.5</v>
      </c>
      <c r="H115" s="69">
        <v>481.61691899999994</v>
      </c>
      <c r="I115" s="67">
        <f t="shared" si="3"/>
        <v>221706.3</v>
      </c>
      <c r="J115" s="76">
        <v>101092.90000000002</v>
      </c>
      <c r="K115" s="67">
        <v>148332.30000000002</v>
      </c>
      <c r="L115" s="67">
        <v>30627.2</v>
      </c>
      <c r="M115" s="67">
        <v>380.9</v>
      </c>
      <c r="N115" s="67">
        <v>20</v>
      </c>
      <c r="O115" s="71" t="s">
        <v>43</v>
      </c>
      <c r="P115" s="72">
        <v>5886.400000000001</v>
      </c>
      <c r="Q115" s="68" t="s">
        <v>43</v>
      </c>
      <c r="R115" s="74">
        <v>-64633.4</v>
      </c>
      <c r="S115" s="67">
        <f t="shared" si="5"/>
        <v>221706.30000000005</v>
      </c>
      <c r="T115" s="67">
        <v>757596.139141222</v>
      </c>
      <c r="U115" s="67">
        <f t="shared" si="4"/>
        <v>3.417115973435225</v>
      </c>
    </row>
    <row r="116" spans="1:21" s="75" customFormat="1" ht="15.75" customHeight="1" hidden="1">
      <c r="A116" s="78" t="s">
        <v>50</v>
      </c>
      <c r="B116" s="67">
        <v>168466.4</v>
      </c>
      <c r="C116" s="67">
        <v>33244.3</v>
      </c>
      <c r="D116" s="67">
        <v>2484.4</v>
      </c>
      <c r="E116" s="67">
        <v>1493.8</v>
      </c>
      <c r="F116" s="67">
        <v>1412.9000000000003</v>
      </c>
      <c r="G116" s="67">
        <v>37.9</v>
      </c>
      <c r="H116" s="69">
        <v>500.5999999999999</v>
      </c>
      <c r="I116" s="67">
        <f t="shared" si="3"/>
        <v>207640.3</v>
      </c>
      <c r="J116" s="76">
        <v>81241.40000000002</v>
      </c>
      <c r="K116" s="67">
        <v>149815.80000000002</v>
      </c>
      <c r="L116" s="67">
        <v>41214.8</v>
      </c>
      <c r="M116" s="67">
        <v>380.9</v>
      </c>
      <c r="N116" s="67">
        <v>20</v>
      </c>
      <c r="O116" s="71" t="s">
        <v>43</v>
      </c>
      <c r="P116" s="72">
        <v>6248.699999999999</v>
      </c>
      <c r="Q116" s="68" t="s">
        <v>43</v>
      </c>
      <c r="R116" s="74">
        <v>-71281.3</v>
      </c>
      <c r="S116" s="67">
        <f t="shared" si="5"/>
        <v>207640.30000000005</v>
      </c>
      <c r="T116" s="67">
        <v>726660.4833333334</v>
      </c>
      <c r="U116" s="67">
        <f t="shared" si="4"/>
        <v>3.49961198925899</v>
      </c>
    </row>
    <row r="117" spans="1:21" s="75" customFormat="1" ht="18" customHeight="1" hidden="1">
      <c r="A117" s="77" t="s">
        <v>101</v>
      </c>
      <c r="B117" s="67">
        <v>163042.7</v>
      </c>
      <c r="C117" s="67">
        <v>23626.300000000003</v>
      </c>
      <c r="D117" s="67">
        <v>2788.4236020000003</v>
      </c>
      <c r="E117" s="67">
        <v>931.2</v>
      </c>
      <c r="F117" s="67">
        <v>2651.1000000000004</v>
      </c>
      <c r="G117" s="67">
        <v>25.6</v>
      </c>
      <c r="H117" s="69">
        <v>1386.4763980000002</v>
      </c>
      <c r="I117" s="67">
        <f t="shared" si="3"/>
        <v>194451.80000000002</v>
      </c>
      <c r="J117" s="76">
        <v>61605.00000000006</v>
      </c>
      <c r="K117" s="67">
        <v>165574.1</v>
      </c>
      <c r="L117" s="67">
        <v>33892.3</v>
      </c>
      <c r="M117" s="67">
        <v>380.9</v>
      </c>
      <c r="N117" s="67">
        <v>20</v>
      </c>
      <c r="O117" s="71" t="s">
        <v>43</v>
      </c>
      <c r="P117" s="72">
        <v>6149.499999999999</v>
      </c>
      <c r="Q117" s="68" t="s">
        <v>43</v>
      </c>
      <c r="R117" s="74">
        <v>-73170</v>
      </c>
      <c r="S117" s="67">
        <f t="shared" si="5"/>
        <v>194451.80000000005</v>
      </c>
      <c r="T117" s="67">
        <v>731234.3208424444</v>
      </c>
      <c r="U117" s="67">
        <f t="shared" si="4"/>
        <v>3.7604913960294755</v>
      </c>
    </row>
    <row r="118" spans="1:21" s="75" customFormat="1" ht="18" customHeight="1" hidden="1">
      <c r="A118" s="77" t="s">
        <v>102</v>
      </c>
      <c r="B118" s="67">
        <v>157871.5</v>
      </c>
      <c r="C118" s="67">
        <v>19725.6</v>
      </c>
      <c r="D118" s="67">
        <v>2419.593216</v>
      </c>
      <c r="E118" s="67">
        <v>782.7</v>
      </c>
      <c r="F118" s="67">
        <v>2706.9</v>
      </c>
      <c r="G118" s="67">
        <v>9.1</v>
      </c>
      <c r="H118" s="69">
        <v>435.90678400000024</v>
      </c>
      <c r="I118" s="67">
        <f t="shared" si="3"/>
        <v>183951.30000000002</v>
      </c>
      <c r="J118" s="76">
        <v>59710.29999999999</v>
      </c>
      <c r="K118" s="67">
        <v>152674.5</v>
      </c>
      <c r="L118" s="67">
        <v>39419.1</v>
      </c>
      <c r="M118" s="67">
        <v>380.9</v>
      </c>
      <c r="N118" s="67">
        <v>20</v>
      </c>
      <c r="O118" s="71" t="s">
        <v>43</v>
      </c>
      <c r="P118" s="72">
        <v>6130.8</v>
      </c>
      <c r="Q118" s="68" t="s">
        <v>43</v>
      </c>
      <c r="R118" s="74">
        <v>-74384.3</v>
      </c>
      <c r="S118" s="67">
        <f t="shared" si="5"/>
        <v>183951.3</v>
      </c>
      <c r="T118" s="67">
        <v>716747.6123395556</v>
      </c>
      <c r="U118" s="67">
        <f t="shared" si="4"/>
        <v>3.896398733466714</v>
      </c>
    </row>
    <row r="119" spans="1:21" s="75" customFormat="1" ht="18" customHeight="1" hidden="1">
      <c r="A119" s="77" t="s">
        <v>100</v>
      </c>
      <c r="B119" s="67">
        <v>170106</v>
      </c>
      <c r="C119" s="67">
        <v>34979.700000000004</v>
      </c>
      <c r="D119" s="67">
        <v>500</v>
      </c>
      <c r="E119" s="67">
        <v>278</v>
      </c>
      <c r="F119" s="67">
        <v>5041.499999999998</v>
      </c>
      <c r="G119" s="67">
        <v>23.6</v>
      </c>
      <c r="H119" s="69">
        <v>397.3</v>
      </c>
      <c r="I119" s="67">
        <f t="shared" si="3"/>
        <v>211326.1</v>
      </c>
      <c r="J119" s="76">
        <v>82293.99999999994</v>
      </c>
      <c r="K119" s="67">
        <v>211644.80000000005</v>
      </c>
      <c r="L119" s="67">
        <v>25301.3</v>
      </c>
      <c r="M119" s="67">
        <v>380.9</v>
      </c>
      <c r="N119" s="67">
        <v>20</v>
      </c>
      <c r="O119" s="71" t="s">
        <v>43</v>
      </c>
      <c r="P119" s="72">
        <v>6184.2</v>
      </c>
      <c r="Q119" s="68" t="s">
        <v>43</v>
      </c>
      <c r="R119" s="74">
        <v>-114499.1</v>
      </c>
      <c r="S119" s="67">
        <f t="shared" si="5"/>
        <v>211326.09999999998</v>
      </c>
      <c r="T119" s="67">
        <v>755801.5666666665</v>
      </c>
      <c r="U119" s="67">
        <f t="shared" si="4"/>
        <v>3.576470519574565</v>
      </c>
    </row>
    <row r="120" spans="1:21" s="75" customFormat="1" ht="15.75" customHeight="1" hidden="1">
      <c r="A120" s="77"/>
      <c r="B120" s="67"/>
      <c r="C120" s="67"/>
      <c r="D120" s="67"/>
      <c r="E120" s="67"/>
      <c r="F120" s="67"/>
      <c r="G120" s="67"/>
      <c r="H120" s="69"/>
      <c r="I120" s="67"/>
      <c r="J120" s="76"/>
      <c r="K120" s="67"/>
      <c r="L120" s="67"/>
      <c r="M120" s="67"/>
      <c r="N120" s="67"/>
      <c r="O120" s="116"/>
      <c r="P120" s="72"/>
      <c r="Q120" s="68"/>
      <c r="R120" s="74"/>
      <c r="S120" s="67"/>
      <c r="T120" s="67"/>
      <c r="U120" s="67"/>
    </row>
    <row r="121" spans="1:21" s="75" customFormat="1" ht="18" customHeight="1" hidden="1">
      <c r="A121" s="77" t="s">
        <v>103</v>
      </c>
      <c r="B121" s="67">
        <v>162981.5</v>
      </c>
      <c r="C121" s="67">
        <v>18924</v>
      </c>
      <c r="D121" s="67">
        <v>2450.4688410000003</v>
      </c>
      <c r="E121" s="67">
        <v>543.2</v>
      </c>
      <c r="F121" s="67">
        <v>2058.7000000000007</v>
      </c>
      <c r="G121" s="67">
        <v>44.3</v>
      </c>
      <c r="H121" s="69">
        <v>2583.631158999999</v>
      </c>
      <c r="I121" s="67">
        <f>H121+F121+E121+C121+B121+G121+D121</f>
        <v>189585.8</v>
      </c>
      <c r="J121" s="76">
        <v>112890.80000000016</v>
      </c>
      <c r="K121" s="67">
        <v>137839.40000000002</v>
      </c>
      <c r="L121" s="67">
        <v>17713.4</v>
      </c>
      <c r="M121" s="67">
        <v>380.9</v>
      </c>
      <c r="N121" s="67">
        <v>20</v>
      </c>
      <c r="O121" s="71" t="s">
        <v>43</v>
      </c>
      <c r="P121" s="72">
        <v>7026.9</v>
      </c>
      <c r="Q121" s="68" t="s">
        <v>43</v>
      </c>
      <c r="R121" s="74">
        <v>-86285.6</v>
      </c>
      <c r="S121" s="67">
        <f t="shared" si="5"/>
        <v>189585.80000000016</v>
      </c>
      <c r="T121" s="67">
        <v>751114.8589367779</v>
      </c>
      <c r="U121" s="67">
        <f t="shared" si="4"/>
        <v>3.9618729827696906</v>
      </c>
    </row>
    <row r="122" spans="1:21" s="75" customFormat="1" ht="15.75" customHeight="1" hidden="1">
      <c r="A122" s="102" t="s">
        <v>106</v>
      </c>
      <c r="B122" s="67">
        <v>164099.6</v>
      </c>
      <c r="C122" s="67">
        <v>29919</v>
      </c>
      <c r="D122" s="67">
        <v>520.8620239999999</v>
      </c>
      <c r="E122" s="67">
        <v>1147.6</v>
      </c>
      <c r="F122" s="67">
        <v>3279.3</v>
      </c>
      <c r="G122" s="67">
        <v>44.3</v>
      </c>
      <c r="H122" s="69">
        <v>511.93797600000005</v>
      </c>
      <c r="I122" s="67">
        <f aca="true" t="shared" si="6" ref="I122:I147">H122+F122+E122+C122+B122+G122+D122</f>
        <v>199522.6</v>
      </c>
      <c r="J122" s="76">
        <v>98423.89999999997</v>
      </c>
      <c r="K122" s="67">
        <v>143263.60000000003</v>
      </c>
      <c r="L122" s="67">
        <v>29586.1</v>
      </c>
      <c r="M122" s="67">
        <v>380.9</v>
      </c>
      <c r="N122" s="67">
        <v>20</v>
      </c>
      <c r="O122" s="71" t="s">
        <v>43</v>
      </c>
      <c r="P122" s="72">
        <v>7177.899999999999</v>
      </c>
      <c r="Q122" s="68" t="s">
        <v>43</v>
      </c>
      <c r="R122" s="74">
        <v>-79329.8</v>
      </c>
      <c r="S122" s="67">
        <f t="shared" si="5"/>
        <v>199522.59999999998</v>
      </c>
      <c r="T122" s="67">
        <v>752007.526864889</v>
      </c>
      <c r="U122" s="67">
        <f t="shared" si="4"/>
        <v>3.769034319244481</v>
      </c>
    </row>
    <row r="123" spans="1:21" s="75" customFormat="1" ht="15.75" customHeight="1" hidden="1">
      <c r="A123" s="102" t="s">
        <v>84</v>
      </c>
      <c r="B123" s="67">
        <v>165509.4</v>
      </c>
      <c r="C123" s="67">
        <v>23200.9</v>
      </c>
      <c r="D123" s="67">
        <v>444.90000000000003</v>
      </c>
      <c r="E123" s="67">
        <v>480.40000000000003</v>
      </c>
      <c r="F123" s="67">
        <v>1503.9000000000003</v>
      </c>
      <c r="G123" s="67">
        <v>18.3</v>
      </c>
      <c r="H123" s="69">
        <v>2529.8</v>
      </c>
      <c r="I123" s="67">
        <f t="shared" si="6"/>
        <v>193687.59999999998</v>
      </c>
      <c r="J123" s="76">
        <v>67729.1000000001</v>
      </c>
      <c r="K123" s="67">
        <v>164340</v>
      </c>
      <c r="L123" s="67">
        <v>31811.4</v>
      </c>
      <c r="M123" s="67">
        <v>380.9</v>
      </c>
      <c r="N123" s="67">
        <v>20</v>
      </c>
      <c r="O123" s="71" t="s">
        <v>43</v>
      </c>
      <c r="P123" s="72">
        <v>7120.7</v>
      </c>
      <c r="Q123" s="68" t="s">
        <v>43</v>
      </c>
      <c r="R123" s="74">
        <v>-77714.5</v>
      </c>
      <c r="S123" s="67">
        <f t="shared" si="5"/>
        <v>193687.6000000001</v>
      </c>
      <c r="T123" s="67">
        <v>742473.75</v>
      </c>
      <c r="U123" s="67">
        <f t="shared" si="4"/>
        <v>3.833357168966935</v>
      </c>
    </row>
    <row r="124" spans="1:21" s="75" customFormat="1" ht="15.75" customHeight="1" hidden="1">
      <c r="A124" s="102" t="s">
        <v>108</v>
      </c>
      <c r="B124" s="67">
        <v>168178.8</v>
      </c>
      <c r="C124" s="67">
        <v>28326</v>
      </c>
      <c r="D124" s="67">
        <v>3254.9822990000002</v>
      </c>
      <c r="E124" s="67">
        <v>525</v>
      </c>
      <c r="F124" s="67">
        <v>2712.4</v>
      </c>
      <c r="G124" s="67">
        <v>14.3</v>
      </c>
      <c r="H124" s="69">
        <v>569.2177009999996</v>
      </c>
      <c r="I124" s="67">
        <f t="shared" si="6"/>
        <v>203580.69999999998</v>
      </c>
      <c r="J124" s="76">
        <v>57855.80000000005</v>
      </c>
      <c r="K124" s="67">
        <v>170991.3</v>
      </c>
      <c r="L124" s="67">
        <v>44281</v>
      </c>
      <c r="M124" s="67">
        <v>380.9</v>
      </c>
      <c r="N124" s="67">
        <v>20</v>
      </c>
      <c r="O124" s="71" t="s">
        <v>43</v>
      </c>
      <c r="P124" s="72">
        <v>7227.2</v>
      </c>
      <c r="Q124" s="68" t="s">
        <v>43</v>
      </c>
      <c r="R124" s="74">
        <v>-77175.5</v>
      </c>
      <c r="S124" s="67">
        <f t="shared" si="5"/>
        <v>203580.7</v>
      </c>
      <c r="T124" s="67">
        <v>754201.1288121111</v>
      </c>
      <c r="U124" s="67">
        <f t="shared" si="4"/>
        <v>3.7046789249281056</v>
      </c>
    </row>
    <row r="125" spans="1:21" s="75" customFormat="1" ht="15.75" customHeight="1" hidden="1">
      <c r="A125" s="102" t="s">
        <v>109</v>
      </c>
      <c r="B125" s="67">
        <v>167039</v>
      </c>
      <c r="C125" s="67">
        <v>27641.7</v>
      </c>
      <c r="D125" s="67">
        <v>3068.665312</v>
      </c>
      <c r="E125" s="67">
        <v>365.90000000000003</v>
      </c>
      <c r="F125" s="67">
        <v>6215.7</v>
      </c>
      <c r="G125" s="67">
        <v>64.6</v>
      </c>
      <c r="H125" s="69">
        <v>468.33468800000037</v>
      </c>
      <c r="I125" s="67">
        <f t="shared" si="6"/>
        <v>204863.9</v>
      </c>
      <c r="J125" s="76">
        <v>60535.40000000008</v>
      </c>
      <c r="K125" s="67">
        <v>164633.69999999995</v>
      </c>
      <c r="L125" s="67">
        <v>51288.8</v>
      </c>
      <c r="M125" s="68" t="s">
        <v>43</v>
      </c>
      <c r="N125" s="67">
        <v>20</v>
      </c>
      <c r="O125" s="71" t="s">
        <v>43</v>
      </c>
      <c r="P125" s="72">
        <v>7332.599999999999</v>
      </c>
      <c r="Q125" s="68" t="s">
        <v>43</v>
      </c>
      <c r="R125" s="74">
        <v>-78946.6</v>
      </c>
      <c r="S125" s="67">
        <f t="shared" si="5"/>
        <v>204863.90000000002</v>
      </c>
      <c r="T125" s="67">
        <v>743975.0069102221</v>
      </c>
      <c r="U125" s="67">
        <f t="shared" si="4"/>
        <v>3.6315573749705155</v>
      </c>
    </row>
    <row r="126" spans="1:21" s="75" customFormat="1" ht="15.75" customHeight="1" hidden="1">
      <c r="A126" s="102" t="s">
        <v>110</v>
      </c>
      <c r="B126" s="67">
        <v>183642.4</v>
      </c>
      <c r="C126" s="67">
        <v>27850.7</v>
      </c>
      <c r="D126" s="67">
        <v>989.7638159999999</v>
      </c>
      <c r="E126" s="67">
        <v>1363.6</v>
      </c>
      <c r="F126" s="67">
        <v>3705.5</v>
      </c>
      <c r="G126" s="67">
        <v>10</v>
      </c>
      <c r="H126" s="69">
        <v>373.03618400000005</v>
      </c>
      <c r="I126" s="67">
        <f t="shared" si="6"/>
        <v>217934.99999999997</v>
      </c>
      <c r="J126" s="76">
        <v>49308</v>
      </c>
      <c r="K126" s="67">
        <v>186067.59999999998</v>
      </c>
      <c r="L126" s="67">
        <v>60598.8</v>
      </c>
      <c r="M126" s="68" t="s">
        <v>43</v>
      </c>
      <c r="N126" s="67">
        <v>20</v>
      </c>
      <c r="O126" s="71" t="s">
        <v>43</v>
      </c>
      <c r="P126" s="72">
        <v>7454</v>
      </c>
      <c r="Q126" s="68" t="s">
        <v>43</v>
      </c>
      <c r="R126" s="74">
        <v>-85513.4</v>
      </c>
      <c r="S126" s="67">
        <f t="shared" si="5"/>
        <v>217935</v>
      </c>
      <c r="T126" s="67">
        <v>765737.4695173332</v>
      </c>
      <c r="U126" s="67">
        <f t="shared" si="4"/>
        <v>3.513604834089675</v>
      </c>
    </row>
    <row r="127" spans="1:21" s="75" customFormat="1" ht="15.75" customHeight="1" hidden="1">
      <c r="A127" s="102" t="s">
        <v>111</v>
      </c>
      <c r="B127" s="67">
        <v>191205.6</v>
      </c>
      <c r="C127" s="67">
        <v>34620.6</v>
      </c>
      <c r="D127" s="67">
        <v>1122.080544</v>
      </c>
      <c r="E127" s="67">
        <v>1745.6999999999998</v>
      </c>
      <c r="F127" s="67">
        <v>2790.1000000000004</v>
      </c>
      <c r="G127" s="67">
        <v>6.4</v>
      </c>
      <c r="H127" s="69">
        <v>449.81945599999995</v>
      </c>
      <c r="I127" s="67">
        <f t="shared" si="6"/>
        <v>231940.3</v>
      </c>
      <c r="J127" s="76">
        <v>46872.80000000005</v>
      </c>
      <c r="K127" s="67">
        <v>206962.8</v>
      </c>
      <c r="L127" s="67">
        <v>53762</v>
      </c>
      <c r="M127" s="68" t="s">
        <v>43</v>
      </c>
      <c r="N127" s="67">
        <v>20</v>
      </c>
      <c r="O127" s="71" t="s">
        <v>43</v>
      </c>
      <c r="P127" s="72">
        <v>7549.599999999999</v>
      </c>
      <c r="Q127" s="68" t="s">
        <v>43</v>
      </c>
      <c r="R127" s="74">
        <v>-83226.9</v>
      </c>
      <c r="S127" s="67">
        <f t="shared" si="5"/>
        <v>231940.30000000005</v>
      </c>
      <c r="T127" s="67">
        <v>786457.4305671111</v>
      </c>
      <c r="U127" s="67">
        <f t="shared" si="4"/>
        <v>3.3907752579741905</v>
      </c>
    </row>
    <row r="128" spans="1:21" s="75" customFormat="1" ht="15.75" customHeight="1" hidden="1">
      <c r="A128" s="102" t="s">
        <v>112</v>
      </c>
      <c r="B128" s="67">
        <v>196035.5</v>
      </c>
      <c r="C128" s="67">
        <v>27931.4</v>
      </c>
      <c r="D128" s="67">
        <v>992.753568</v>
      </c>
      <c r="E128" s="67">
        <v>1485.5</v>
      </c>
      <c r="F128" s="67">
        <v>3236.7999999999997</v>
      </c>
      <c r="G128" s="67">
        <v>17.3</v>
      </c>
      <c r="H128" s="69">
        <v>298.046432</v>
      </c>
      <c r="I128" s="67">
        <f t="shared" si="6"/>
        <v>229997.3</v>
      </c>
      <c r="J128" s="76">
        <v>39580.20000000001</v>
      </c>
      <c r="K128" s="67">
        <v>221346.3</v>
      </c>
      <c r="L128" s="67">
        <v>40499.3</v>
      </c>
      <c r="M128" s="68" t="s">
        <v>43</v>
      </c>
      <c r="N128" s="67">
        <v>20</v>
      </c>
      <c r="O128" s="71" t="s">
        <v>43</v>
      </c>
      <c r="P128" s="72">
        <v>7681.7</v>
      </c>
      <c r="Q128" s="68" t="s">
        <v>43</v>
      </c>
      <c r="R128" s="74">
        <v>-79130.2</v>
      </c>
      <c r="S128" s="67">
        <f t="shared" si="5"/>
        <v>229997.3</v>
      </c>
      <c r="T128" s="67">
        <v>817967.6353208888</v>
      </c>
      <c r="U128" s="67">
        <f t="shared" si="4"/>
        <v>3.5564227724451065</v>
      </c>
    </row>
    <row r="129" spans="1:21" s="75" customFormat="1" ht="15.75" customHeight="1" hidden="1">
      <c r="A129" s="102" t="s">
        <v>113</v>
      </c>
      <c r="B129" s="67">
        <v>184428.3</v>
      </c>
      <c r="C129" s="67">
        <v>32797.5</v>
      </c>
      <c r="D129" s="67">
        <v>289.7</v>
      </c>
      <c r="E129" s="67">
        <v>1441.2</v>
      </c>
      <c r="F129" s="67">
        <v>1869.8</v>
      </c>
      <c r="G129" s="67">
        <v>12.8</v>
      </c>
      <c r="H129" s="69">
        <v>334.9</v>
      </c>
      <c r="I129" s="67">
        <f t="shared" si="6"/>
        <v>221174.19999999998</v>
      </c>
      <c r="J129" s="76">
        <v>55414.5</v>
      </c>
      <c r="K129" s="67">
        <v>208067.1</v>
      </c>
      <c r="L129" s="67">
        <v>29808.6</v>
      </c>
      <c r="M129" s="68" t="s">
        <v>43</v>
      </c>
      <c r="N129" s="67">
        <v>20</v>
      </c>
      <c r="O129" s="71" t="s">
        <v>43</v>
      </c>
      <c r="P129" s="72">
        <v>8060.7</v>
      </c>
      <c r="Q129" s="68" t="s">
        <v>43</v>
      </c>
      <c r="R129" s="74">
        <v>-80196.70000000001</v>
      </c>
      <c r="S129" s="67">
        <f t="shared" si="5"/>
        <v>221174.19999999998</v>
      </c>
      <c r="T129" s="67">
        <v>809062.7666666668</v>
      </c>
      <c r="U129" s="67">
        <f t="shared" si="4"/>
        <v>3.658034104640898</v>
      </c>
    </row>
    <row r="130" spans="1:21" s="75" customFormat="1" ht="15.75" customHeight="1" hidden="1">
      <c r="A130" s="102" t="s">
        <v>114</v>
      </c>
      <c r="B130" s="67">
        <v>180543.7</v>
      </c>
      <c r="C130" s="67">
        <v>38998.9</v>
      </c>
      <c r="D130" s="67">
        <v>4830.7</v>
      </c>
      <c r="E130" s="67">
        <v>2876.3</v>
      </c>
      <c r="F130" s="67">
        <v>6487.900000000001</v>
      </c>
      <c r="G130" s="67">
        <v>24.3</v>
      </c>
      <c r="H130" s="69">
        <v>419.2</v>
      </c>
      <c r="I130" s="67">
        <f t="shared" si="6"/>
        <v>234181</v>
      </c>
      <c r="J130" s="76">
        <v>50733.300000000105</v>
      </c>
      <c r="K130" s="67">
        <v>233205.7</v>
      </c>
      <c r="L130" s="67">
        <v>15843.6</v>
      </c>
      <c r="M130" s="68" t="s">
        <v>43</v>
      </c>
      <c r="N130" s="67">
        <v>20</v>
      </c>
      <c r="O130" s="71" t="s">
        <v>43</v>
      </c>
      <c r="P130" s="72">
        <v>8140.9</v>
      </c>
      <c r="Q130" s="68" t="s">
        <v>43</v>
      </c>
      <c r="R130" s="74">
        <v>-73762.5</v>
      </c>
      <c r="S130" s="67">
        <f t="shared" si="5"/>
        <v>234181.00000000012</v>
      </c>
      <c r="T130" s="67">
        <v>816104.3444444445</v>
      </c>
      <c r="U130" s="67">
        <f t="shared" si="4"/>
        <v>3.484929795519041</v>
      </c>
    </row>
    <row r="131" spans="1:21" s="75" customFormat="1" ht="15.75" customHeight="1" hidden="1">
      <c r="A131" s="102" t="s">
        <v>115</v>
      </c>
      <c r="B131" s="67">
        <v>180263.8</v>
      </c>
      <c r="C131" s="67">
        <v>44006.6</v>
      </c>
      <c r="D131" s="67">
        <v>3861.3</v>
      </c>
      <c r="E131" s="67">
        <v>3435.2999999999997</v>
      </c>
      <c r="F131" s="67">
        <v>7826.4</v>
      </c>
      <c r="G131" s="67">
        <v>33</v>
      </c>
      <c r="H131" s="69">
        <v>611</v>
      </c>
      <c r="I131" s="67">
        <f t="shared" si="6"/>
        <v>240037.39999999997</v>
      </c>
      <c r="J131" s="76">
        <v>50395</v>
      </c>
      <c r="K131" s="67">
        <v>251672.2</v>
      </c>
      <c r="L131" s="67">
        <v>9108</v>
      </c>
      <c r="M131" s="68" t="s">
        <v>43</v>
      </c>
      <c r="N131" s="67">
        <v>20</v>
      </c>
      <c r="O131" s="71" t="s">
        <v>43</v>
      </c>
      <c r="P131" s="72">
        <v>8109.4</v>
      </c>
      <c r="Q131" s="68" t="s">
        <v>43</v>
      </c>
      <c r="R131" s="74">
        <v>-79267.2</v>
      </c>
      <c r="S131" s="67">
        <f t="shared" si="5"/>
        <v>240037.40000000002</v>
      </c>
      <c r="T131" s="67">
        <v>827421.6222222222</v>
      </c>
      <c r="U131" s="67">
        <f t="shared" si="4"/>
        <v>3.447052926844826</v>
      </c>
    </row>
    <row r="132" spans="1:21" s="75" customFormat="1" ht="15.75" customHeight="1" hidden="1">
      <c r="A132" s="102" t="s">
        <v>116</v>
      </c>
      <c r="B132" s="67">
        <v>198246.9</v>
      </c>
      <c r="C132" s="67">
        <v>39879.9</v>
      </c>
      <c r="D132" s="67">
        <v>22413.6</v>
      </c>
      <c r="E132" s="67">
        <v>2827.5</v>
      </c>
      <c r="F132" s="67">
        <v>3234.3</v>
      </c>
      <c r="G132" s="67">
        <v>14.5</v>
      </c>
      <c r="H132" s="69">
        <v>669.4</v>
      </c>
      <c r="I132" s="67">
        <f t="shared" si="6"/>
        <v>267286.1</v>
      </c>
      <c r="J132" s="76">
        <v>66928.90000000002</v>
      </c>
      <c r="K132" s="67">
        <v>285507.4</v>
      </c>
      <c r="L132" s="68" t="s">
        <v>43</v>
      </c>
      <c r="M132" s="68" t="s">
        <v>43</v>
      </c>
      <c r="N132" s="67">
        <v>20</v>
      </c>
      <c r="O132" s="71" t="s">
        <v>43</v>
      </c>
      <c r="P132" s="72">
        <v>8125.5</v>
      </c>
      <c r="Q132" s="73">
        <v>-6800</v>
      </c>
      <c r="R132" s="74">
        <v>-86495.70000000001</v>
      </c>
      <c r="S132" s="67">
        <f t="shared" si="5"/>
        <v>267286.10000000003</v>
      </c>
      <c r="T132" s="67">
        <v>877253.3</v>
      </c>
      <c r="U132" s="67">
        <f t="shared" si="4"/>
        <v>3.2820760226588668</v>
      </c>
    </row>
    <row r="133" spans="1:21" s="75" customFormat="1" ht="15.75" customHeight="1" hidden="1">
      <c r="A133" s="102"/>
      <c r="B133" s="67"/>
      <c r="C133" s="67"/>
      <c r="D133" s="67"/>
      <c r="E133" s="67"/>
      <c r="F133" s="67"/>
      <c r="G133" s="67"/>
      <c r="H133" s="69"/>
      <c r="I133" s="67"/>
      <c r="J133" s="76"/>
      <c r="K133" s="67"/>
      <c r="L133" s="68"/>
      <c r="M133" s="68"/>
      <c r="N133" s="67"/>
      <c r="O133" s="116"/>
      <c r="P133" s="72"/>
      <c r="Q133" s="73"/>
      <c r="R133" s="74"/>
      <c r="S133" s="67"/>
      <c r="T133" s="67"/>
      <c r="U133" s="67"/>
    </row>
    <row r="134" spans="1:21" s="75" customFormat="1" ht="15.75" customHeight="1" hidden="1">
      <c r="A134" s="77" t="s">
        <v>98</v>
      </c>
      <c r="B134" s="67">
        <v>182477.4</v>
      </c>
      <c r="C134" s="67">
        <v>41549.8</v>
      </c>
      <c r="D134" s="67">
        <v>5031.2</v>
      </c>
      <c r="E134" s="67">
        <v>3714.3</v>
      </c>
      <c r="F134" s="67">
        <v>1475.9</v>
      </c>
      <c r="G134" s="67">
        <v>48.3</v>
      </c>
      <c r="H134" s="69">
        <v>1113.7</v>
      </c>
      <c r="I134" s="67">
        <f t="shared" si="6"/>
        <v>235410.6</v>
      </c>
      <c r="J134" s="76">
        <v>55782.70000000001</v>
      </c>
      <c r="K134" s="67">
        <v>246528.49999999997</v>
      </c>
      <c r="L134" s="68" t="s">
        <v>43</v>
      </c>
      <c r="M134" s="68" t="s">
        <v>43</v>
      </c>
      <c r="N134" s="67">
        <v>20</v>
      </c>
      <c r="O134" s="71" t="s">
        <v>43</v>
      </c>
      <c r="P134" s="72">
        <v>8854.1</v>
      </c>
      <c r="Q134" s="68" t="s">
        <v>43</v>
      </c>
      <c r="R134" s="74">
        <v>-75774.7</v>
      </c>
      <c r="S134" s="67">
        <f t="shared" si="5"/>
        <v>235410.59999999998</v>
      </c>
      <c r="T134" s="67">
        <v>870333.6916666667</v>
      </c>
      <c r="U134" s="67">
        <f t="shared" si="4"/>
        <v>3.6970879461955692</v>
      </c>
    </row>
    <row r="135" spans="1:21" s="75" customFormat="1" ht="15.75" customHeight="1" hidden="1">
      <c r="A135" s="77" t="s">
        <v>117</v>
      </c>
      <c r="B135" s="67">
        <v>188192.1</v>
      </c>
      <c r="C135" s="67">
        <v>46670</v>
      </c>
      <c r="D135" s="67">
        <v>11248.3</v>
      </c>
      <c r="E135" s="67">
        <v>2782.2</v>
      </c>
      <c r="F135" s="67">
        <v>6918.699999999999</v>
      </c>
      <c r="G135" s="67">
        <v>41.8</v>
      </c>
      <c r="H135" s="69">
        <v>415.1</v>
      </c>
      <c r="I135" s="67">
        <f t="shared" si="6"/>
        <v>256268.19999999998</v>
      </c>
      <c r="J135" s="76">
        <v>97419.49999999988</v>
      </c>
      <c r="K135" s="67">
        <v>214938.4</v>
      </c>
      <c r="L135" s="67">
        <v>11804.3</v>
      </c>
      <c r="M135" s="68" t="s">
        <v>43</v>
      </c>
      <c r="N135" s="67">
        <v>20</v>
      </c>
      <c r="O135" s="71" t="s">
        <v>43</v>
      </c>
      <c r="P135" s="72">
        <v>8848.3</v>
      </c>
      <c r="Q135" s="68" t="s">
        <v>43</v>
      </c>
      <c r="R135" s="74">
        <v>-76762.3</v>
      </c>
      <c r="S135" s="67">
        <f t="shared" si="5"/>
        <v>256268.1999999999</v>
      </c>
      <c r="T135" s="67">
        <v>894947.4833333333</v>
      </c>
      <c r="U135" s="67">
        <f t="shared" si="4"/>
        <v>3.4922299502370304</v>
      </c>
    </row>
    <row r="136" spans="1:21" s="75" customFormat="1" ht="15.75" customHeight="1" hidden="1">
      <c r="A136" s="77" t="s">
        <v>119</v>
      </c>
      <c r="B136" s="67">
        <v>189178.2</v>
      </c>
      <c r="C136" s="67">
        <v>45758.4</v>
      </c>
      <c r="D136" s="67">
        <v>9951.2</v>
      </c>
      <c r="E136" s="67">
        <v>2115</v>
      </c>
      <c r="F136" s="67">
        <v>5247.000000000001</v>
      </c>
      <c r="G136" s="67">
        <v>70.7</v>
      </c>
      <c r="H136" s="69">
        <v>298.6</v>
      </c>
      <c r="I136" s="67">
        <f t="shared" si="6"/>
        <v>252619.10000000003</v>
      </c>
      <c r="J136" s="76">
        <v>48746.90000000008</v>
      </c>
      <c r="K136" s="67">
        <v>264998.8</v>
      </c>
      <c r="L136" s="67">
        <v>7592</v>
      </c>
      <c r="M136" s="68" t="s">
        <v>43</v>
      </c>
      <c r="N136" s="67">
        <v>20</v>
      </c>
      <c r="O136" s="71" t="s">
        <v>43</v>
      </c>
      <c r="P136" s="72">
        <v>8683.9</v>
      </c>
      <c r="Q136" s="68" t="s">
        <v>43</v>
      </c>
      <c r="R136" s="74">
        <v>-77422.5</v>
      </c>
      <c r="S136" s="67">
        <f t="shared" si="5"/>
        <v>252619.10000000006</v>
      </c>
      <c r="T136" s="67">
        <v>893897.975</v>
      </c>
      <c r="U136" s="67">
        <f t="shared" si="4"/>
        <v>3.5385209392322268</v>
      </c>
    </row>
    <row r="137" spans="1:21" s="75" customFormat="1" ht="15.75" customHeight="1" hidden="1">
      <c r="A137" s="77" t="s">
        <v>123</v>
      </c>
      <c r="B137" s="67">
        <v>192574</v>
      </c>
      <c r="C137" s="67">
        <v>53981.2</v>
      </c>
      <c r="D137" s="67">
        <v>1329.9</v>
      </c>
      <c r="E137" s="67">
        <v>3020.3</v>
      </c>
      <c r="F137" s="67">
        <v>7844.6</v>
      </c>
      <c r="G137" s="67">
        <v>43</v>
      </c>
      <c r="H137" s="69">
        <v>760.2</v>
      </c>
      <c r="I137" s="67">
        <f t="shared" si="6"/>
        <v>259553.19999999998</v>
      </c>
      <c r="J137" s="76">
        <v>44693.59999999998</v>
      </c>
      <c r="K137" s="67">
        <v>280277.5</v>
      </c>
      <c r="L137" s="68" t="s">
        <v>43</v>
      </c>
      <c r="M137" s="68" t="s">
        <v>43</v>
      </c>
      <c r="N137" s="67">
        <v>20</v>
      </c>
      <c r="O137" s="71" t="s">
        <v>43</v>
      </c>
      <c r="P137" s="72">
        <v>8648.7</v>
      </c>
      <c r="Q137" s="68" t="s">
        <v>43</v>
      </c>
      <c r="R137" s="74">
        <v>-74086.59999999999</v>
      </c>
      <c r="S137" s="67">
        <f t="shared" si="5"/>
        <v>259553.19999999998</v>
      </c>
      <c r="T137" s="67">
        <v>923598.7666666666</v>
      </c>
      <c r="U137" s="67">
        <f aca="true" t="shared" si="7" ref="U137:U147">T137/I137</f>
        <v>3.558417953108136</v>
      </c>
    </row>
    <row r="138" spans="1:21" s="75" customFormat="1" ht="15.75" customHeight="1" hidden="1">
      <c r="A138" s="77" t="s">
        <v>125</v>
      </c>
      <c r="B138" s="67">
        <v>197918.3</v>
      </c>
      <c r="C138" s="67">
        <v>46750.1</v>
      </c>
      <c r="D138" s="67">
        <v>4135.400000000001</v>
      </c>
      <c r="E138" s="67">
        <v>2696.4</v>
      </c>
      <c r="F138" s="67">
        <v>7258.8</v>
      </c>
      <c r="G138" s="67">
        <v>140.3</v>
      </c>
      <c r="H138" s="69">
        <v>373.5</v>
      </c>
      <c r="I138" s="67">
        <f t="shared" si="6"/>
        <v>259272.79999999996</v>
      </c>
      <c r="J138" s="76">
        <v>64212.600000000035</v>
      </c>
      <c r="K138" s="67">
        <v>251958.70000000007</v>
      </c>
      <c r="L138" s="68" t="s">
        <v>43</v>
      </c>
      <c r="M138" s="68" t="s">
        <v>43</v>
      </c>
      <c r="N138" s="67">
        <v>20</v>
      </c>
      <c r="O138" s="71" t="s">
        <v>43</v>
      </c>
      <c r="P138" s="72">
        <v>8884</v>
      </c>
      <c r="Q138" s="68" t="s">
        <v>43</v>
      </c>
      <c r="R138" s="74">
        <v>-65802.5</v>
      </c>
      <c r="S138" s="67">
        <f t="shared" si="5"/>
        <v>259272.8000000001</v>
      </c>
      <c r="T138" s="67">
        <v>928294.3583333334</v>
      </c>
      <c r="U138" s="67">
        <f t="shared" si="7"/>
        <v>3.580376955597863</v>
      </c>
    </row>
    <row r="139" spans="1:21" s="75" customFormat="1" ht="15.75" customHeight="1" hidden="1">
      <c r="A139" s="77" t="s">
        <v>126</v>
      </c>
      <c r="B139" s="67">
        <v>205811.8</v>
      </c>
      <c r="C139" s="67">
        <v>56976.3</v>
      </c>
      <c r="D139" s="67">
        <v>7760.5</v>
      </c>
      <c r="E139" s="67">
        <v>2218.5</v>
      </c>
      <c r="F139" s="67">
        <v>7471.700000000001</v>
      </c>
      <c r="G139" s="67">
        <v>79.7</v>
      </c>
      <c r="H139" s="69">
        <v>271.5</v>
      </c>
      <c r="I139" s="67">
        <f t="shared" si="6"/>
        <v>280590</v>
      </c>
      <c r="J139" s="76">
        <v>56965.40000000008</v>
      </c>
      <c r="K139" s="67">
        <v>273884.2</v>
      </c>
      <c r="L139" s="68" t="s">
        <v>43</v>
      </c>
      <c r="M139" s="68" t="s">
        <v>43</v>
      </c>
      <c r="N139" s="67">
        <v>20</v>
      </c>
      <c r="O139" s="71" t="s">
        <v>43</v>
      </c>
      <c r="P139" s="72">
        <v>9042.5</v>
      </c>
      <c r="Q139" s="68" t="s">
        <v>43</v>
      </c>
      <c r="R139" s="74">
        <v>-59322.100000000006</v>
      </c>
      <c r="S139" s="67">
        <f aca="true" t="shared" si="8" ref="S139:S145">R139+Q139+P139+N139+M139+L139+K139+J139+O139</f>
        <v>280590.0000000001</v>
      </c>
      <c r="T139" s="67">
        <v>927922.8499999996</v>
      </c>
      <c r="U139" s="67">
        <f t="shared" si="7"/>
        <v>3.3070417691293335</v>
      </c>
    </row>
    <row r="140" spans="1:21" s="75" customFormat="1" ht="15.75" customHeight="1" hidden="1">
      <c r="A140" s="77" t="s">
        <v>127</v>
      </c>
      <c r="B140" s="67">
        <v>205754.8</v>
      </c>
      <c r="C140" s="67">
        <v>42545.7</v>
      </c>
      <c r="D140" s="67">
        <v>1034.6</v>
      </c>
      <c r="E140" s="67">
        <v>1712.5</v>
      </c>
      <c r="F140" s="67">
        <v>3739.7000000000003</v>
      </c>
      <c r="G140" s="67">
        <v>57.6</v>
      </c>
      <c r="H140" s="69">
        <v>313.7</v>
      </c>
      <c r="I140" s="67">
        <f t="shared" si="6"/>
        <v>255158.6</v>
      </c>
      <c r="J140" s="76">
        <v>88260.70000000007</v>
      </c>
      <c r="K140" s="67">
        <v>211421.3</v>
      </c>
      <c r="L140" s="67">
        <v>2619.7</v>
      </c>
      <c r="M140" s="68" t="s">
        <v>43</v>
      </c>
      <c r="N140" s="67">
        <v>20</v>
      </c>
      <c r="O140" s="71" t="s">
        <v>43</v>
      </c>
      <c r="P140" s="72">
        <v>9499</v>
      </c>
      <c r="Q140" s="68" t="s">
        <v>43</v>
      </c>
      <c r="R140" s="74">
        <v>-56662.09999999999</v>
      </c>
      <c r="S140" s="67">
        <f t="shared" si="8"/>
        <v>255158.60000000006</v>
      </c>
      <c r="T140" s="67">
        <v>933506.9083333334</v>
      </c>
      <c r="U140" s="67">
        <f t="shared" si="7"/>
        <v>3.6585359393464825</v>
      </c>
    </row>
    <row r="141" spans="1:21" s="75" customFormat="1" ht="15.75" customHeight="1" hidden="1">
      <c r="A141" s="77" t="s">
        <v>132</v>
      </c>
      <c r="B141" s="67">
        <v>207966.5</v>
      </c>
      <c r="C141" s="67">
        <v>65307.6</v>
      </c>
      <c r="D141" s="67">
        <v>4962.200000000001</v>
      </c>
      <c r="E141" s="67">
        <v>2783.3</v>
      </c>
      <c r="F141" s="67">
        <v>7575.4</v>
      </c>
      <c r="G141" s="67">
        <v>52.2</v>
      </c>
      <c r="H141" s="69">
        <v>218.9</v>
      </c>
      <c r="I141" s="67">
        <f t="shared" si="6"/>
        <v>288866.10000000003</v>
      </c>
      <c r="J141" s="76">
        <v>79468.29999999999</v>
      </c>
      <c r="K141" s="67">
        <v>254521.30000000002</v>
      </c>
      <c r="L141" s="68" t="s">
        <v>43</v>
      </c>
      <c r="M141" s="68" t="s">
        <v>43</v>
      </c>
      <c r="N141" s="67">
        <v>20</v>
      </c>
      <c r="O141" s="71" t="s">
        <v>43</v>
      </c>
      <c r="P141" s="72">
        <v>9778.4</v>
      </c>
      <c r="Q141" s="68" t="s">
        <v>43</v>
      </c>
      <c r="R141" s="74">
        <v>-54921.899999999994</v>
      </c>
      <c r="S141" s="67">
        <f t="shared" si="8"/>
        <v>288866.1</v>
      </c>
      <c r="T141" s="67">
        <v>956476.3666666668</v>
      </c>
      <c r="U141" s="67">
        <f t="shared" si="7"/>
        <v>3.3111409288478875</v>
      </c>
    </row>
    <row r="142" spans="1:21" s="75" customFormat="1" ht="15.75" customHeight="1" hidden="1">
      <c r="A142" s="77" t="s">
        <v>133</v>
      </c>
      <c r="B142" s="67">
        <v>201031</v>
      </c>
      <c r="C142" s="67">
        <v>65670.9</v>
      </c>
      <c r="D142" s="67">
        <v>1516.7</v>
      </c>
      <c r="E142" s="67">
        <v>4193</v>
      </c>
      <c r="F142" s="67">
        <v>4666.1</v>
      </c>
      <c r="G142" s="67">
        <v>54.7</v>
      </c>
      <c r="H142" s="69">
        <v>280.2</v>
      </c>
      <c r="I142" s="67">
        <f t="shared" si="6"/>
        <v>277412.60000000003</v>
      </c>
      <c r="J142" s="76">
        <v>78410.79999999999</v>
      </c>
      <c r="K142" s="67">
        <v>243601.6</v>
      </c>
      <c r="L142" s="67">
        <v>61.3</v>
      </c>
      <c r="M142" s="68" t="s">
        <v>43</v>
      </c>
      <c r="N142" s="67">
        <v>20</v>
      </c>
      <c r="O142" s="71" t="s">
        <v>43</v>
      </c>
      <c r="P142" s="72">
        <v>9872.8</v>
      </c>
      <c r="Q142" s="68" t="s">
        <v>43</v>
      </c>
      <c r="R142" s="74">
        <v>-54553.89999999999</v>
      </c>
      <c r="S142" s="67">
        <f t="shared" si="8"/>
        <v>277412.6</v>
      </c>
      <c r="T142" s="67">
        <v>956466.325</v>
      </c>
      <c r="U142" s="67">
        <f t="shared" si="7"/>
        <v>3.4478114007799205</v>
      </c>
    </row>
    <row r="143" spans="1:21" s="75" customFormat="1" ht="15.75" customHeight="1" hidden="1">
      <c r="A143" s="77" t="s">
        <v>134</v>
      </c>
      <c r="B143" s="67">
        <v>202480.1</v>
      </c>
      <c r="C143" s="67">
        <v>63902</v>
      </c>
      <c r="D143" s="67">
        <v>14280.7</v>
      </c>
      <c r="E143" s="67">
        <v>3120.3999999999996</v>
      </c>
      <c r="F143" s="67">
        <v>4807.4</v>
      </c>
      <c r="G143" s="67">
        <v>67.5</v>
      </c>
      <c r="H143" s="69">
        <v>563.8</v>
      </c>
      <c r="I143" s="67">
        <f t="shared" si="6"/>
        <v>289221.9</v>
      </c>
      <c r="J143" s="76">
        <v>98627.29999999999</v>
      </c>
      <c r="K143" s="67">
        <v>234765.29999999996</v>
      </c>
      <c r="L143" s="68" t="s">
        <v>43</v>
      </c>
      <c r="M143" s="68" t="s">
        <v>43</v>
      </c>
      <c r="N143" s="67">
        <v>20</v>
      </c>
      <c r="O143" s="71" t="s">
        <v>43</v>
      </c>
      <c r="P143" s="72">
        <v>9994.6</v>
      </c>
      <c r="Q143" s="68" t="s">
        <v>43</v>
      </c>
      <c r="R143" s="74">
        <v>-54185.299999999996</v>
      </c>
      <c r="S143" s="67">
        <f t="shared" si="8"/>
        <v>289221.89999999997</v>
      </c>
      <c r="T143" s="67">
        <v>960604.4833333332</v>
      </c>
      <c r="U143" s="67">
        <f t="shared" si="7"/>
        <v>3.3213407537027213</v>
      </c>
    </row>
    <row r="144" spans="1:21" s="75" customFormat="1" ht="15.75" customHeight="1" hidden="1">
      <c r="A144" s="77" t="s">
        <v>135</v>
      </c>
      <c r="B144" s="67">
        <v>205821.3</v>
      </c>
      <c r="C144" s="67">
        <v>68293.7</v>
      </c>
      <c r="D144" s="67">
        <v>4330</v>
      </c>
      <c r="E144" s="67">
        <v>2717.5</v>
      </c>
      <c r="F144" s="67">
        <v>5401.499999999999</v>
      </c>
      <c r="G144" s="67">
        <v>104.6</v>
      </c>
      <c r="H144" s="69">
        <v>723.9</v>
      </c>
      <c r="I144" s="67">
        <f t="shared" si="6"/>
        <v>287392.49999999994</v>
      </c>
      <c r="J144" s="76">
        <v>81256.10000000003</v>
      </c>
      <c r="K144" s="67">
        <v>249308.5</v>
      </c>
      <c r="L144" s="68" t="s">
        <v>43</v>
      </c>
      <c r="M144" s="68" t="s">
        <v>43</v>
      </c>
      <c r="N144" s="67">
        <v>20</v>
      </c>
      <c r="O144" s="71" t="s">
        <v>43</v>
      </c>
      <c r="P144" s="72">
        <v>10127.199999999999</v>
      </c>
      <c r="Q144" s="68" t="s">
        <v>43</v>
      </c>
      <c r="R144" s="74">
        <v>-53319.3</v>
      </c>
      <c r="S144" s="67">
        <f t="shared" si="8"/>
        <v>287392.5</v>
      </c>
      <c r="T144" s="67">
        <v>963431.5416666665</v>
      </c>
      <c r="U144" s="67">
        <f t="shared" si="7"/>
        <v>3.3523197079487694</v>
      </c>
    </row>
    <row r="145" spans="1:21" s="75" customFormat="1" ht="15.75" customHeight="1" hidden="1">
      <c r="A145" s="77" t="s">
        <v>136</v>
      </c>
      <c r="B145" s="67">
        <v>211683.7</v>
      </c>
      <c r="C145" s="67">
        <v>82710.8</v>
      </c>
      <c r="D145" s="67">
        <v>5135.8</v>
      </c>
      <c r="E145" s="67">
        <v>2674</v>
      </c>
      <c r="F145" s="67">
        <v>3566.2</v>
      </c>
      <c r="G145" s="67">
        <v>28</v>
      </c>
      <c r="H145" s="69">
        <v>787.6</v>
      </c>
      <c r="I145" s="67">
        <f t="shared" si="6"/>
        <v>306586.10000000003</v>
      </c>
      <c r="J145" s="76">
        <v>118133.79999999999</v>
      </c>
      <c r="K145" s="67">
        <v>229473.99999999997</v>
      </c>
      <c r="L145" s="68" t="s">
        <v>43</v>
      </c>
      <c r="M145" s="68" t="s">
        <v>43</v>
      </c>
      <c r="N145" s="67">
        <v>20</v>
      </c>
      <c r="O145" s="71" t="s">
        <v>43</v>
      </c>
      <c r="P145" s="72">
        <v>10118.699999999999</v>
      </c>
      <c r="Q145" s="68" t="s">
        <v>43</v>
      </c>
      <c r="R145" s="74">
        <v>-51160.40000000001</v>
      </c>
      <c r="S145" s="67">
        <f t="shared" si="8"/>
        <v>306586.1</v>
      </c>
      <c r="T145" s="67">
        <v>986748.8</v>
      </c>
      <c r="U145" s="67">
        <f t="shared" si="7"/>
        <v>3.218504687590207</v>
      </c>
    </row>
    <row r="146" spans="1:21" s="75" customFormat="1" ht="15.75" customHeight="1" hidden="1">
      <c r="A146" s="77"/>
      <c r="B146" s="67"/>
      <c r="C146" s="67"/>
      <c r="D146" s="67"/>
      <c r="E146" s="67"/>
      <c r="F146" s="67"/>
      <c r="G146" s="67"/>
      <c r="H146" s="69"/>
      <c r="I146" s="67"/>
      <c r="J146" s="76"/>
      <c r="K146" s="67"/>
      <c r="L146" s="68"/>
      <c r="M146" s="68"/>
      <c r="N146" s="67"/>
      <c r="O146" s="116"/>
      <c r="P146" s="72"/>
      <c r="Q146" s="68"/>
      <c r="R146" s="74"/>
      <c r="S146" s="67"/>
      <c r="T146" s="67"/>
      <c r="U146" s="67"/>
    </row>
    <row r="147" spans="1:21" s="75" customFormat="1" ht="15.75" customHeight="1" hidden="1">
      <c r="A147" s="102" t="s">
        <v>124</v>
      </c>
      <c r="B147" s="67">
        <v>202030.1</v>
      </c>
      <c r="C147" s="67">
        <v>63490.3</v>
      </c>
      <c r="D147" s="67">
        <v>957</v>
      </c>
      <c r="E147" s="67">
        <v>2260.2</v>
      </c>
      <c r="F147" s="67">
        <v>2464.7</v>
      </c>
      <c r="G147" s="67">
        <v>33.9</v>
      </c>
      <c r="H147" s="69">
        <v>1652.3</v>
      </c>
      <c r="I147" s="67">
        <f t="shared" si="6"/>
        <v>272888.5</v>
      </c>
      <c r="J147" s="76">
        <v>102196.30000000005</v>
      </c>
      <c r="K147" s="67">
        <v>210861.09999999998</v>
      </c>
      <c r="L147" s="68" t="s">
        <v>43</v>
      </c>
      <c r="M147" s="68" t="s">
        <v>43</v>
      </c>
      <c r="N147" s="67">
        <v>20</v>
      </c>
      <c r="O147" s="71" t="s">
        <v>43</v>
      </c>
      <c r="P147" s="72">
        <v>11156.5</v>
      </c>
      <c r="Q147" s="68" t="s">
        <v>43</v>
      </c>
      <c r="R147" s="74">
        <v>-51345.4</v>
      </c>
      <c r="S147" s="67">
        <f aca="true" t="shared" si="9" ref="S147:S152">R147+Q147+P147+N147+M147+L147+K147+J147+O147</f>
        <v>272888.5</v>
      </c>
      <c r="T147" s="67">
        <v>965205.5833333333</v>
      </c>
      <c r="U147" s="67">
        <f t="shared" si="7"/>
        <v>3.5369961846443996</v>
      </c>
    </row>
    <row r="148" spans="1:21" s="75" customFormat="1" ht="15.75" customHeight="1" hidden="1">
      <c r="A148" s="102" t="s">
        <v>137</v>
      </c>
      <c r="B148" s="67">
        <v>199255.9</v>
      </c>
      <c r="C148" s="67">
        <v>59022.7</v>
      </c>
      <c r="D148" s="67">
        <v>2284.7</v>
      </c>
      <c r="E148" s="67">
        <v>2097</v>
      </c>
      <c r="F148" s="67">
        <v>2938.3</v>
      </c>
      <c r="G148" s="67">
        <v>32.3</v>
      </c>
      <c r="H148" s="69">
        <v>613</v>
      </c>
      <c r="I148" s="67">
        <f aca="true" t="shared" si="10" ref="I148:I153">H148+F148+E148+C148+B148+G148+D148</f>
        <v>266243.9</v>
      </c>
      <c r="J148" s="76">
        <f>475747.7-385806.2+1198.4</f>
        <v>91139.9</v>
      </c>
      <c r="K148" s="67">
        <f>395958-181814.8</f>
        <v>214143.2</v>
      </c>
      <c r="L148" s="68">
        <v>115</v>
      </c>
      <c r="M148" s="68">
        <v>1914.8</v>
      </c>
      <c r="N148" s="67">
        <v>20</v>
      </c>
      <c r="O148" s="71" t="s">
        <v>43</v>
      </c>
      <c r="P148" s="72">
        <v>11612.7</v>
      </c>
      <c r="Q148" s="68" t="s">
        <v>43</v>
      </c>
      <c r="R148" s="93">
        <f>33.4+16104.5-1198.4+887.9-9270.7-1240.9+13312-71329.5</f>
        <v>-52701.7</v>
      </c>
      <c r="S148" s="67">
        <f t="shared" si="9"/>
        <v>266243.9</v>
      </c>
      <c r="T148" s="67">
        <v>976744.4666666668</v>
      </c>
      <c r="U148" s="67">
        <f aca="true" t="shared" si="11" ref="U148:U153">T148/I148</f>
        <v>3.6686078692006343</v>
      </c>
    </row>
    <row r="149" spans="1:21" s="75" customFormat="1" ht="15.75" customHeight="1" hidden="1">
      <c r="A149" s="102" t="s">
        <v>131</v>
      </c>
      <c r="B149" s="67">
        <v>201300.8</v>
      </c>
      <c r="C149" s="67">
        <v>70896.4</v>
      </c>
      <c r="D149" s="67">
        <v>426.9</v>
      </c>
      <c r="E149" s="67">
        <v>1135.9</v>
      </c>
      <c r="F149" s="67">
        <v>1041.5</v>
      </c>
      <c r="G149" s="67">
        <v>24.6</v>
      </c>
      <c r="H149" s="69">
        <v>1373.4</v>
      </c>
      <c r="I149" s="67">
        <f t="shared" si="10"/>
        <v>276199.5</v>
      </c>
      <c r="J149" s="76">
        <f>490364.5-396544.3+1198.4</f>
        <v>95018.6</v>
      </c>
      <c r="K149" s="67">
        <f>404471-161075.9</f>
        <v>243395.1</v>
      </c>
      <c r="L149" s="68">
        <v>325.1</v>
      </c>
      <c r="M149" s="68">
        <v>1914.8</v>
      </c>
      <c r="N149" s="67">
        <v>20</v>
      </c>
      <c r="O149" s="71" t="s">
        <v>43</v>
      </c>
      <c r="P149" s="72">
        <v>11758.1</v>
      </c>
      <c r="Q149" s="74">
        <v>-27200</v>
      </c>
      <c r="R149" s="93">
        <f>21.3+16389.1-1198.4+887.9-6602.2-1098+13903.7-71335.6</f>
        <v>-49032.20000000001</v>
      </c>
      <c r="S149" s="67">
        <f t="shared" si="9"/>
        <v>276199.5</v>
      </c>
      <c r="T149" s="67">
        <v>988233.8499999999</v>
      </c>
      <c r="U149" s="67">
        <f t="shared" si="11"/>
        <v>3.5779711766313835</v>
      </c>
    </row>
    <row r="150" spans="1:21" s="75" customFormat="1" ht="15.75" customHeight="1" hidden="1">
      <c r="A150" s="102" t="s">
        <v>140</v>
      </c>
      <c r="B150" s="67">
        <v>208491.1</v>
      </c>
      <c r="C150" s="67">
        <v>88908.1</v>
      </c>
      <c r="D150" s="67">
        <v>1280.1</v>
      </c>
      <c r="E150" s="67">
        <v>1749.2</v>
      </c>
      <c r="F150" s="67">
        <v>3119.1</v>
      </c>
      <c r="G150" s="67">
        <v>29.9</v>
      </c>
      <c r="H150" s="69">
        <v>3474.7</v>
      </c>
      <c r="I150" s="67">
        <f t="shared" si="10"/>
        <v>307052.2</v>
      </c>
      <c r="J150" s="76">
        <f>492431.1-398474+1198.4</f>
        <v>95155.49999999997</v>
      </c>
      <c r="K150" s="67">
        <f>409906.3-163913.7</f>
        <v>245992.59999999998</v>
      </c>
      <c r="L150" s="68" t="s">
        <v>43</v>
      </c>
      <c r="M150" s="68">
        <v>1914.8</v>
      </c>
      <c r="N150" s="67">
        <v>20</v>
      </c>
      <c r="O150" s="71" t="s">
        <v>43</v>
      </c>
      <c r="P150" s="72">
        <v>11937.4</v>
      </c>
      <c r="Q150" s="68" t="s">
        <v>43</v>
      </c>
      <c r="R150" s="93">
        <f>21.3+47709.6-1198.4+887.9-6404.9-1060.8-800-87122.8</f>
        <v>-47968.100000000006</v>
      </c>
      <c r="S150" s="67">
        <f t="shared" si="9"/>
        <v>307052.19999999995</v>
      </c>
      <c r="T150" s="67">
        <v>1033925.333333333</v>
      </c>
      <c r="U150" s="67">
        <f t="shared" si="11"/>
        <v>3.3672624177040027</v>
      </c>
    </row>
    <row r="151" spans="1:21" s="75" customFormat="1" ht="15.75" customHeight="1" hidden="1">
      <c r="A151" s="102" t="s">
        <v>141</v>
      </c>
      <c r="B151" s="67">
        <v>217664.2</v>
      </c>
      <c r="C151" s="67">
        <v>94855.4</v>
      </c>
      <c r="D151" s="67">
        <v>297.8</v>
      </c>
      <c r="E151" s="67">
        <v>2191.3</v>
      </c>
      <c r="F151" s="67">
        <v>1750.3</v>
      </c>
      <c r="G151" s="67">
        <v>45</v>
      </c>
      <c r="H151" s="69">
        <v>1633.4</v>
      </c>
      <c r="I151" s="67">
        <f t="shared" si="10"/>
        <v>318437.39999999997</v>
      </c>
      <c r="J151" s="76">
        <f>481241.6-396516+1198.4</f>
        <v>85923.99999999997</v>
      </c>
      <c r="K151" s="67">
        <f>411110.1-143405.2</f>
        <v>267704.89999999997</v>
      </c>
      <c r="L151" s="68"/>
      <c r="M151" s="68">
        <v>1914.8</v>
      </c>
      <c r="N151" s="67">
        <v>20</v>
      </c>
      <c r="O151" s="71" t="s">
        <v>43</v>
      </c>
      <c r="P151" s="72">
        <v>11973.7</v>
      </c>
      <c r="Q151" s="68" t="s">
        <v>43</v>
      </c>
      <c r="R151" s="93">
        <f>21.3+47840.2-1198.4+887.9-5114.3-1028.6-3446.2-87061.9</f>
        <v>-49099.99999999999</v>
      </c>
      <c r="S151" s="67">
        <f t="shared" si="9"/>
        <v>318437.3999999999</v>
      </c>
      <c r="T151" s="67">
        <v>1024057.3166666667</v>
      </c>
      <c r="U151" s="67">
        <f t="shared" si="11"/>
        <v>3.215882671654356</v>
      </c>
    </row>
    <row r="152" spans="1:21" s="75" customFormat="1" ht="15.75" customHeight="1" hidden="1">
      <c r="A152" s="102" t="s">
        <v>142</v>
      </c>
      <c r="B152" s="67">
        <v>223781.8</v>
      </c>
      <c r="C152" s="67">
        <v>100650</v>
      </c>
      <c r="D152" s="67">
        <v>1428.4</v>
      </c>
      <c r="E152" s="67">
        <v>1303.5</v>
      </c>
      <c r="F152" s="67">
        <v>6385</v>
      </c>
      <c r="G152" s="67">
        <v>20.2</v>
      </c>
      <c r="H152" s="69">
        <v>1329.6</v>
      </c>
      <c r="I152" s="67">
        <f t="shared" si="10"/>
        <v>334898.50000000006</v>
      </c>
      <c r="J152" s="76">
        <f>485405.9-397532.8+1198.4</f>
        <v>89071.50000000003</v>
      </c>
      <c r="K152" s="67">
        <f>434035.1-151389.7</f>
        <v>282645.39999999997</v>
      </c>
      <c r="L152" s="68"/>
      <c r="M152" s="68">
        <v>1914.8</v>
      </c>
      <c r="N152" s="67">
        <v>20</v>
      </c>
      <c r="O152" s="71" t="s">
        <v>43</v>
      </c>
      <c r="P152" s="72">
        <v>12500.7</v>
      </c>
      <c r="Q152" s="68" t="s">
        <v>43</v>
      </c>
      <c r="R152" s="93">
        <f>21.3+46067.1-1198.4+887.9-2743.8-1057.4-2716.3-90514.3</f>
        <v>-51253.90000000001</v>
      </c>
      <c r="S152" s="67">
        <f t="shared" si="9"/>
        <v>334898.5</v>
      </c>
      <c r="T152" s="67">
        <v>1050599.4</v>
      </c>
      <c r="U152" s="67">
        <f t="shared" si="11"/>
        <v>3.1370680967517015</v>
      </c>
    </row>
    <row r="153" spans="1:21" s="75" customFormat="1" ht="15.75" customHeight="1" hidden="1">
      <c r="A153" s="102" t="s">
        <v>128</v>
      </c>
      <c r="B153" s="67">
        <v>239726</v>
      </c>
      <c r="C153" s="67">
        <v>85589</v>
      </c>
      <c r="D153" s="67">
        <v>5114.6</v>
      </c>
      <c r="E153" s="67">
        <v>1871.9</v>
      </c>
      <c r="F153" s="67">
        <v>6762.7</v>
      </c>
      <c r="G153" s="67">
        <v>16.1</v>
      </c>
      <c r="H153" s="69">
        <v>3757.8</v>
      </c>
      <c r="I153" s="67">
        <f t="shared" si="10"/>
        <v>342838.1</v>
      </c>
      <c r="J153" s="76">
        <f>455398.8-385996.8+1198.4</f>
        <v>70600.4</v>
      </c>
      <c r="K153" s="67">
        <f>447505.3-145793.7</f>
        <v>301711.6</v>
      </c>
      <c r="L153" s="68"/>
      <c r="M153" s="68">
        <v>1914.8</v>
      </c>
      <c r="N153" s="67">
        <v>20</v>
      </c>
      <c r="O153" s="71" t="s">
        <v>43</v>
      </c>
      <c r="P153" s="72">
        <v>12519.3</v>
      </c>
      <c r="Q153" s="68" t="s">
        <v>43</v>
      </c>
      <c r="R153" s="93">
        <f>21.3+56200.1-1198.4+887.9-9700.7-1203.3-2458.5-86476.4</f>
        <v>-43928</v>
      </c>
      <c r="S153" s="67">
        <f aca="true" t="shared" si="12" ref="S153:S158">R153+Q153+P153+N153+M153+L153+K153+J153+O153</f>
        <v>342838.1</v>
      </c>
      <c r="T153" s="67">
        <v>1100681.2666666664</v>
      </c>
      <c r="U153" s="67">
        <f t="shared" si="11"/>
        <v>3.210498677558493</v>
      </c>
    </row>
    <row r="154" spans="1:21" s="75" customFormat="1" ht="15.75" customHeight="1" hidden="1">
      <c r="A154" s="102" t="s">
        <v>144</v>
      </c>
      <c r="B154" s="67">
        <v>234022.8</v>
      </c>
      <c r="C154" s="67">
        <v>93988.4</v>
      </c>
      <c r="D154" s="67">
        <v>622.8</v>
      </c>
      <c r="E154" s="67">
        <v>1591.3</v>
      </c>
      <c r="F154" s="67">
        <v>2898.3</v>
      </c>
      <c r="G154" s="67">
        <v>44.9</v>
      </c>
      <c r="H154" s="69">
        <v>4866.3</v>
      </c>
      <c r="I154" s="67">
        <f>H154+F154+E154+C154+B154+G154+D154</f>
        <v>338034.8</v>
      </c>
      <c r="J154" s="76">
        <f>460611.2-379199.7+1198.4</f>
        <v>82609.9</v>
      </c>
      <c r="K154" s="67">
        <f>437467.9-150872.4</f>
        <v>286595.5</v>
      </c>
      <c r="L154" s="68"/>
      <c r="M154" s="68">
        <v>2000</v>
      </c>
      <c r="N154" s="67">
        <v>20</v>
      </c>
      <c r="O154" s="71" t="s">
        <v>43</v>
      </c>
      <c r="P154" s="72">
        <v>12402.8</v>
      </c>
      <c r="Q154" s="68" t="s">
        <v>43</v>
      </c>
      <c r="R154" s="93">
        <f>21.3+56676.9-1198.4+887.9-9573.8-940.7-4721.2-86745.4</f>
        <v>-45593.39999999998</v>
      </c>
      <c r="S154" s="67">
        <f t="shared" si="12"/>
        <v>338034.80000000005</v>
      </c>
      <c r="T154" s="67">
        <v>1093021.7555555557</v>
      </c>
      <c r="U154" s="67">
        <f>T154/I154</f>
        <v>3.2334592638259605</v>
      </c>
    </row>
    <row r="155" spans="1:21" s="75" customFormat="1" ht="15.75" customHeight="1" hidden="1">
      <c r="A155" s="102" t="s">
        <v>147</v>
      </c>
      <c r="B155" s="67">
        <v>222708</v>
      </c>
      <c r="C155" s="67">
        <v>80783.1</v>
      </c>
      <c r="D155" s="67">
        <v>631.5</v>
      </c>
      <c r="E155" s="67">
        <v>2407.5</v>
      </c>
      <c r="F155" s="67">
        <v>2153.6</v>
      </c>
      <c r="G155" s="67">
        <v>23.3</v>
      </c>
      <c r="H155" s="69">
        <v>969.1</v>
      </c>
      <c r="I155" s="67">
        <f>H155+F155+E155+C155+B155+G155+D155</f>
        <v>309676.1</v>
      </c>
      <c r="J155" s="76">
        <f>523706.4-382067.5+1198.4</f>
        <v>142837.30000000002</v>
      </c>
      <c r="K155" s="67">
        <f>421409.4-226015.5</f>
        <v>195393.90000000002</v>
      </c>
      <c r="L155" s="68">
        <f>2231.9-2000</f>
        <v>231.9000000000001</v>
      </c>
      <c r="M155" s="68">
        <v>2000</v>
      </c>
      <c r="N155" s="67">
        <v>20</v>
      </c>
      <c r="O155" s="71" t="s">
        <v>43</v>
      </c>
      <c r="P155" s="72">
        <v>12409.6</v>
      </c>
      <c r="Q155" s="68" t="s">
        <v>43</v>
      </c>
      <c r="R155" s="93">
        <f>21.3+57430-1198.4+887.9-8443.4-1055.6-4209.9-86648.5</f>
        <v>-43216.6</v>
      </c>
      <c r="S155" s="67">
        <f t="shared" si="12"/>
        <v>309676.10000000003</v>
      </c>
      <c r="T155" s="67">
        <v>1052584.2055555554</v>
      </c>
      <c r="U155" s="67">
        <f>T155/I155</f>
        <v>3.398984311529225</v>
      </c>
    </row>
    <row r="156" spans="1:21" s="75" customFormat="1" ht="15.75" customHeight="1" hidden="1">
      <c r="A156" s="102" t="s">
        <v>148</v>
      </c>
      <c r="B156" s="67">
        <v>222327.4</v>
      </c>
      <c r="C156" s="67">
        <v>134377.8</v>
      </c>
      <c r="D156" s="67">
        <v>5301.7</v>
      </c>
      <c r="E156" s="67">
        <v>2382.2</v>
      </c>
      <c r="F156" s="67">
        <v>5743.4</v>
      </c>
      <c r="G156" s="67">
        <v>39.3</v>
      </c>
      <c r="H156" s="69">
        <v>174.2</v>
      </c>
      <c r="I156" s="67">
        <f>H156+F156+E156+C156+B156+G156+D156</f>
        <v>370346</v>
      </c>
      <c r="J156" s="76">
        <f>517932.7-380171.5+1198.4</f>
        <v>138959.6</v>
      </c>
      <c r="K156" s="67">
        <f>468148.1-204650.9</f>
        <v>263497.19999999995</v>
      </c>
      <c r="L156" s="68">
        <f>2000-2000</f>
        <v>0</v>
      </c>
      <c r="M156" s="68">
        <v>2000</v>
      </c>
      <c r="N156" s="67">
        <v>20</v>
      </c>
      <c r="O156" s="71" t="s">
        <v>43</v>
      </c>
      <c r="P156" s="72">
        <v>12267.8</v>
      </c>
      <c r="Q156" s="68" t="s">
        <v>43</v>
      </c>
      <c r="R156" s="93">
        <f>21.3+59825.3-1198.4+887.9-9452.2-1157.5-8619.5-86705.5</f>
        <v>-46398.59999999999</v>
      </c>
      <c r="S156" s="67">
        <f t="shared" si="12"/>
        <v>370346</v>
      </c>
      <c r="T156" s="67">
        <v>1089090.962962963</v>
      </c>
      <c r="U156" s="67">
        <f>T156/I156</f>
        <v>2.9407391006328214</v>
      </c>
    </row>
    <row r="157" spans="1:21" s="75" customFormat="1" ht="15.75" customHeight="1" hidden="1">
      <c r="A157" s="102" t="s">
        <v>149</v>
      </c>
      <c r="B157" s="67">
        <v>219197.7</v>
      </c>
      <c r="C157" s="67">
        <v>105839.2</v>
      </c>
      <c r="D157" s="67">
        <v>910.9</v>
      </c>
      <c r="E157" s="67">
        <v>1576.2</v>
      </c>
      <c r="F157" s="67">
        <v>1671.9</v>
      </c>
      <c r="G157" s="67">
        <v>10.8</v>
      </c>
      <c r="H157" s="69">
        <v>1629</v>
      </c>
      <c r="I157" s="67">
        <f>H157+F157+E157+C157+B157+G157+D157</f>
        <v>330835.7</v>
      </c>
      <c r="J157" s="76">
        <f>509034.4-376171.7+1198.4</f>
        <v>134061.1</v>
      </c>
      <c r="K157" s="67">
        <f>434687.3-206775.6</f>
        <v>227911.69999999998</v>
      </c>
      <c r="L157" s="68">
        <f>2565.8-2000</f>
        <v>565.8000000000002</v>
      </c>
      <c r="M157" s="68">
        <v>2000</v>
      </c>
      <c r="N157" s="67">
        <v>20</v>
      </c>
      <c r="O157" s="71" t="s">
        <v>43</v>
      </c>
      <c r="P157" s="72">
        <v>12253.7</v>
      </c>
      <c r="Q157" s="68" t="s">
        <v>43</v>
      </c>
      <c r="R157" s="93">
        <f>21.3+61512.9-1198.4+887.9-9053-1071.6-10345.2-86730.5</f>
        <v>-45976.59999999999</v>
      </c>
      <c r="S157" s="67">
        <f t="shared" si="12"/>
        <v>330835.69999999995</v>
      </c>
      <c r="T157" s="67">
        <v>1056615.1586419751</v>
      </c>
      <c r="U157" s="67">
        <f>T157/I157</f>
        <v>3.1937761210231397</v>
      </c>
    </row>
    <row r="158" spans="1:21" s="75" customFormat="1" ht="15.75" customHeight="1" hidden="1">
      <c r="A158" s="102" t="s">
        <v>150</v>
      </c>
      <c r="B158" s="67">
        <v>227340.9</v>
      </c>
      <c r="C158" s="67">
        <v>120095.4</v>
      </c>
      <c r="D158" s="67">
        <v>1035.1</v>
      </c>
      <c r="E158" s="67">
        <v>1624.7</v>
      </c>
      <c r="F158" s="67">
        <v>3555.9</v>
      </c>
      <c r="G158" s="67">
        <v>22.9</v>
      </c>
      <c r="H158" s="69">
        <v>1326.1</v>
      </c>
      <c r="I158" s="67">
        <f>H158+F158+E158+C158+B158+G158+D158</f>
        <v>355001</v>
      </c>
      <c r="J158" s="76">
        <f>500016.3-372538.8+1198.4</f>
        <v>128675.9</v>
      </c>
      <c r="K158" s="67">
        <f>448063.6-184472.5</f>
        <v>263591.1</v>
      </c>
      <c r="L158" s="68">
        <f>2000-2000</f>
        <v>0</v>
      </c>
      <c r="M158" s="68">
        <v>2000</v>
      </c>
      <c r="N158" s="67">
        <v>20</v>
      </c>
      <c r="O158" s="71" t="s">
        <v>43</v>
      </c>
      <c r="P158" s="72">
        <v>12103.3</v>
      </c>
      <c r="Q158" s="68" t="s">
        <v>43</v>
      </c>
      <c r="R158" s="93">
        <f>21.3+65554.3-1198.4+887.9-9222.6-1064.1-8152.8-98214.9</f>
        <v>-51389.29999999999</v>
      </c>
      <c r="S158" s="67">
        <f t="shared" si="12"/>
        <v>355001</v>
      </c>
      <c r="T158" s="67">
        <v>1107089.4000000001</v>
      </c>
      <c r="U158" s="67">
        <f>T158/I158</f>
        <v>3.1185529054847736</v>
      </c>
    </row>
    <row r="159" spans="1:21" s="75" customFormat="1" ht="15.75" customHeight="1" hidden="1">
      <c r="A159" s="102"/>
      <c r="B159" s="67"/>
      <c r="C159" s="67"/>
      <c r="D159" s="67"/>
      <c r="E159" s="67"/>
      <c r="F159" s="67"/>
      <c r="G159" s="67"/>
      <c r="H159" s="69"/>
      <c r="I159" s="67"/>
      <c r="J159" s="76"/>
      <c r="K159" s="67"/>
      <c r="L159" s="68"/>
      <c r="M159" s="68"/>
      <c r="N159" s="67"/>
      <c r="O159" s="116"/>
      <c r="P159" s="72"/>
      <c r="Q159" s="68"/>
      <c r="R159" s="93"/>
      <c r="S159" s="67"/>
      <c r="T159" s="67"/>
      <c r="U159" s="67"/>
    </row>
    <row r="160" spans="1:21" s="75" customFormat="1" ht="15.75" customHeight="1" hidden="1">
      <c r="A160" s="102" t="s">
        <v>129</v>
      </c>
      <c r="B160" s="67">
        <v>221881.2</v>
      </c>
      <c r="C160" s="67">
        <v>90284</v>
      </c>
      <c r="D160" s="67">
        <v>1412.8</v>
      </c>
      <c r="E160" s="67">
        <v>1251.9</v>
      </c>
      <c r="F160" s="67">
        <v>2661.8</v>
      </c>
      <c r="G160" s="67">
        <v>11.2</v>
      </c>
      <c r="H160" s="69">
        <v>309.5</v>
      </c>
      <c r="I160" s="67">
        <f aca="true" t="shared" si="13" ref="I160:I165">H160+F160+E160+C160+B160+G160+D160</f>
        <v>317812.4</v>
      </c>
      <c r="J160" s="76">
        <f>483199.5-357331.8+1198.4</f>
        <v>127066.1</v>
      </c>
      <c r="K160" s="67">
        <f>415348.9-196033.7</f>
        <v>219315.2</v>
      </c>
      <c r="L160" s="68">
        <f>2463.7-2000</f>
        <v>463.6999999999998</v>
      </c>
      <c r="M160" s="68">
        <v>2000</v>
      </c>
      <c r="N160" s="67">
        <v>20</v>
      </c>
      <c r="O160" s="71" t="s">
        <v>43</v>
      </c>
      <c r="P160" s="72">
        <v>12903.4</v>
      </c>
      <c r="Q160" s="68" t="s">
        <v>43</v>
      </c>
      <c r="R160" s="93">
        <f>21.3+67989.3-1198.4+887.9-10502.8-1109.7-11229.7-88813.9</f>
        <v>-43955.999999999985</v>
      </c>
      <c r="S160" s="67">
        <f aca="true" t="shared" si="14" ref="S160:S165">R160+Q160+P160+N160+M160+L160+K160+J160+O160</f>
        <v>317812.4</v>
      </c>
      <c r="T160" s="67">
        <v>1079164.5833333333</v>
      </c>
      <c r="U160" s="67">
        <f aca="true" t="shared" si="15" ref="U160:U165">T160/I160</f>
        <v>3.395602510579616</v>
      </c>
    </row>
    <row r="161" spans="1:21" s="75" customFormat="1" ht="15.75" customHeight="1" hidden="1">
      <c r="A161" s="102" t="s">
        <v>152</v>
      </c>
      <c r="B161" s="67">
        <v>223869.8</v>
      </c>
      <c r="C161" s="67">
        <v>128772</v>
      </c>
      <c r="D161" s="67">
        <v>1446.5</v>
      </c>
      <c r="E161" s="67">
        <v>2667.8</v>
      </c>
      <c r="F161" s="67">
        <v>4150.5</v>
      </c>
      <c r="G161" s="67">
        <v>29.4</v>
      </c>
      <c r="H161" s="69">
        <v>410.4</v>
      </c>
      <c r="I161" s="67">
        <f t="shared" si="13"/>
        <v>361346.4</v>
      </c>
      <c r="J161" s="76">
        <f>475373.3-354020.7+1198.4</f>
        <v>122550.99999999997</v>
      </c>
      <c r="K161" s="67">
        <f>462738.1-196031.2</f>
        <v>266706.89999999997</v>
      </c>
      <c r="L161" s="68">
        <f>2000-2000</f>
        <v>0</v>
      </c>
      <c r="M161" s="68">
        <v>2000</v>
      </c>
      <c r="N161" s="67">
        <v>20</v>
      </c>
      <c r="O161" s="71" t="s">
        <v>43</v>
      </c>
      <c r="P161" s="72">
        <v>12771.4</v>
      </c>
      <c r="Q161" s="68" t="s">
        <v>43</v>
      </c>
      <c r="R161" s="93">
        <f>21.3+69461.2-1198.4+887.9-10301.6-1045.4-10806.9-89721</f>
        <v>-42702.9</v>
      </c>
      <c r="S161" s="67">
        <f t="shared" si="14"/>
        <v>361346.3999999999</v>
      </c>
      <c r="T161" s="67">
        <v>1089757.0666666664</v>
      </c>
      <c r="U161" s="67">
        <f t="shared" si="15"/>
        <v>3.015823782018214</v>
      </c>
    </row>
    <row r="162" spans="1:21" s="75" customFormat="1" ht="15.75" customHeight="1" hidden="1">
      <c r="A162" s="101" t="s">
        <v>139</v>
      </c>
      <c r="B162" s="67">
        <v>223176.6</v>
      </c>
      <c r="C162" s="67">
        <v>71767.6</v>
      </c>
      <c r="D162" s="67">
        <v>1593.8</v>
      </c>
      <c r="E162" s="67">
        <v>1878.3</v>
      </c>
      <c r="F162" s="67">
        <v>4089.8</v>
      </c>
      <c r="G162" s="67">
        <v>47.4</v>
      </c>
      <c r="H162" s="69">
        <v>243.7</v>
      </c>
      <c r="I162" s="67">
        <f t="shared" si="13"/>
        <v>302797.2</v>
      </c>
      <c r="J162" s="76">
        <f>471312.6-356984.6+1198.4</f>
        <v>115526.4</v>
      </c>
      <c r="K162" s="67">
        <f>412400.5-196706.6</f>
        <v>215693.9</v>
      </c>
      <c r="L162" s="68">
        <f>3178.9-2000</f>
        <v>1178.9</v>
      </c>
      <c r="M162" s="68">
        <v>2000</v>
      </c>
      <c r="N162" s="67">
        <v>20</v>
      </c>
      <c r="O162" s="71" t="s">
        <v>43</v>
      </c>
      <c r="P162" s="72">
        <v>12654.2</v>
      </c>
      <c r="Q162" s="68" t="s">
        <v>43</v>
      </c>
      <c r="R162" s="93">
        <f>21.3+70415.3-1198.4+887.9-10123.6-1091.7-13545.7-89641.3</f>
        <v>-44276.2</v>
      </c>
      <c r="S162" s="67">
        <f t="shared" si="14"/>
        <v>302797.19999999995</v>
      </c>
      <c r="T162" s="67">
        <v>1064238.65</v>
      </c>
      <c r="U162" s="67">
        <f t="shared" si="15"/>
        <v>3.5146911860479553</v>
      </c>
    </row>
    <row r="163" spans="1:21" s="75" customFormat="1" ht="15.75" customHeight="1" hidden="1">
      <c r="A163" s="102" t="s">
        <v>154</v>
      </c>
      <c r="B163" s="67">
        <v>238022.8</v>
      </c>
      <c r="C163" s="67">
        <v>72697.2</v>
      </c>
      <c r="D163" s="67">
        <v>3120.4</v>
      </c>
      <c r="E163" s="67">
        <v>1431.1</v>
      </c>
      <c r="F163" s="67">
        <v>4725.5</v>
      </c>
      <c r="G163" s="67">
        <v>18.4</v>
      </c>
      <c r="H163" s="69">
        <v>403.8</v>
      </c>
      <c r="I163" s="67">
        <f t="shared" si="13"/>
        <v>320419.2</v>
      </c>
      <c r="J163" s="76">
        <f>452409.5-360084.5+1198.4</f>
        <v>93523.4</v>
      </c>
      <c r="K163" s="67">
        <f>440884.9-198822.1</f>
        <v>242062.80000000002</v>
      </c>
      <c r="L163" s="68">
        <f>12000-2000</f>
        <v>10000</v>
      </c>
      <c r="M163" s="68">
        <v>2000</v>
      </c>
      <c r="N163" s="67">
        <v>20</v>
      </c>
      <c r="O163" s="71" t="s">
        <v>43</v>
      </c>
      <c r="P163" s="72">
        <v>12455.3</v>
      </c>
      <c r="Q163" s="68" t="s">
        <v>43</v>
      </c>
      <c r="R163" s="93">
        <f>61+72416.3-1198.4+887.9-9306.4-1124.5-5028.9-96349.3</f>
        <v>-39642.3</v>
      </c>
      <c r="S163" s="67">
        <f t="shared" si="14"/>
        <v>320419.2</v>
      </c>
      <c r="T163" s="67">
        <v>1108914.6333333335</v>
      </c>
      <c r="U163" s="67">
        <f t="shared" si="15"/>
        <v>3.4608245490074676</v>
      </c>
    </row>
    <row r="164" spans="1:21" s="75" customFormat="1" ht="15.75" customHeight="1" hidden="1">
      <c r="A164" s="102" t="s">
        <v>120</v>
      </c>
      <c r="B164" s="67">
        <v>248023.4</v>
      </c>
      <c r="C164" s="67">
        <v>69415.7</v>
      </c>
      <c r="D164" s="67">
        <v>6610</v>
      </c>
      <c r="E164" s="67">
        <v>1979.6</v>
      </c>
      <c r="F164" s="67">
        <v>5097.9</v>
      </c>
      <c r="G164" s="67">
        <v>48</v>
      </c>
      <c r="H164" s="69">
        <v>588.3</v>
      </c>
      <c r="I164" s="67">
        <f t="shared" si="13"/>
        <v>331762.9</v>
      </c>
      <c r="J164" s="76">
        <f>451993-356222.3+1198.4</f>
        <v>96969.1</v>
      </c>
      <c r="K164" s="67">
        <f>464369-205884.1</f>
        <v>258484.9</v>
      </c>
      <c r="L164" s="68">
        <f>2911.5-2000</f>
        <v>911.5</v>
      </c>
      <c r="M164" s="68">
        <v>2000</v>
      </c>
      <c r="N164" s="67">
        <v>20</v>
      </c>
      <c r="O164" s="71" t="s">
        <v>43</v>
      </c>
      <c r="P164" s="72">
        <v>12774.8</v>
      </c>
      <c r="Q164" s="68" t="s">
        <v>43</v>
      </c>
      <c r="R164" s="93">
        <f>61+73754.4-1198.4+887.9-8857.5-1125-7161.4-95758.4</f>
        <v>-39397.4</v>
      </c>
      <c r="S164" s="67">
        <f t="shared" si="14"/>
        <v>331762.9</v>
      </c>
      <c r="T164" s="67">
        <v>1127841.6166666667</v>
      </c>
      <c r="U164" s="67">
        <f t="shared" si="15"/>
        <v>3.399541108022225</v>
      </c>
    </row>
    <row r="165" spans="1:21" s="75" customFormat="1" ht="15.75" customHeight="1" hidden="1">
      <c r="A165" s="102" t="s">
        <v>155</v>
      </c>
      <c r="B165" s="67">
        <v>254961.4</v>
      </c>
      <c r="C165" s="67">
        <v>63611.8</v>
      </c>
      <c r="D165" s="67">
        <v>9771.3</v>
      </c>
      <c r="E165" s="67">
        <v>2089.9</v>
      </c>
      <c r="F165" s="67">
        <v>3640.6</v>
      </c>
      <c r="G165" s="67">
        <v>62.4</v>
      </c>
      <c r="H165" s="69">
        <v>357.5</v>
      </c>
      <c r="I165" s="67">
        <f t="shared" si="13"/>
        <v>334494.9</v>
      </c>
      <c r="J165" s="76">
        <f>372018.8-361289.7+1198.4</f>
        <v>11927.499999999976</v>
      </c>
      <c r="K165" s="67">
        <f>504411.7-186212.1</f>
        <v>318199.6</v>
      </c>
      <c r="L165" s="68">
        <f>22000-2000</f>
        <v>20000</v>
      </c>
      <c r="M165" s="68">
        <v>2000</v>
      </c>
      <c r="N165" s="67">
        <v>20</v>
      </c>
      <c r="O165" s="71" t="s">
        <v>43</v>
      </c>
      <c r="P165" s="72">
        <v>13128.8</v>
      </c>
      <c r="Q165" s="68" t="s">
        <v>43</v>
      </c>
      <c r="R165" s="93">
        <f>61+72615.2-1198.4+887.9-1293.3-1101.1-5626.8-95125.5</f>
        <v>-30781.000000000015</v>
      </c>
      <c r="S165" s="67">
        <f t="shared" si="14"/>
        <v>334494.89999999997</v>
      </c>
      <c r="T165" s="67">
        <v>1104077.7999999996</v>
      </c>
      <c r="U165" s="67">
        <f t="shared" si="15"/>
        <v>3.300731341494293</v>
      </c>
    </row>
    <row r="166" spans="1:21" s="75" customFormat="1" ht="15.75" customHeight="1" hidden="1">
      <c r="A166" s="102" t="s">
        <v>156</v>
      </c>
      <c r="B166" s="67">
        <v>238905.2</v>
      </c>
      <c r="C166" s="67">
        <v>80850</v>
      </c>
      <c r="D166" s="67">
        <v>2711.7</v>
      </c>
      <c r="E166" s="67">
        <v>1992.3</v>
      </c>
      <c r="F166" s="67">
        <v>2932.2</v>
      </c>
      <c r="G166" s="67">
        <v>59.3</v>
      </c>
      <c r="H166" s="69">
        <v>428</v>
      </c>
      <c r="I166" s="67">
        <f aca="true" t="shared" si="16" ref="I166:I171">H166+F166+E166+C166+B166+G166+D166</f>
        <v>327878.7</v>
      </c>
      <c r="J166" s="76">
        <f>352745.3-356249.3+1198.4</f>
        <v>-2305.6</v>
      </c>
      <c r="K166" s="67">
        <f>505143.9-164384.2</f>
        <v>340759.7</v>
      </c>
      <c r="L166" s="68">
        <f>8000-2000</f>
        <v>6000</v>
      </c>
      <c r="M166" s="68">
        <v>2000</v>
      </c>
      <c r="N166" s="67">
        <v>20</v>
      </c>
      <c r="O166" s="71" t="s">
        <v>43</v>
      </c>
      <c r="P166" s="72">
        <v>13666.4</v>
      </c>
      <c r="Q166" s="68" t="s">
        <v>43</v>
      </c>
      <c r="R166" s="93">
        <f>81.3+70254.5-1198.4+887.9-1675.7-1220.4-3574.2-95816.8</f>
        <v>-32261.79999999999</v>
      </c>
      <c r="S166" s="67">
        <f aca="true" t="shared" si="17" ref="S166:S171">R166+Q166+P166+N166+M166+L166+K166+J166+O166</f>
        <v>327878.70000000007</v>
      </c>
      <c r="T166" s="67">
        <v>1102324</v>
      </c>
      <c r="U166" s="67">
        <f aca="true" t="shared" si="18" ref="U166:U171">T166/I166</f>
        <v>3.3619872227137657</v>
      </c>
    </row>
    <row r="167" spans="1:21" s="75" customFormat="1" ht="15.75" customHeight="1" hidden="1">
      <c r="A167" s="102" t="s">
        <v>158</v>
      </c>
      <c r="B167" s="67">
        <v>230953.7</v>
      </c>
      <c r="C167" s="67">
        <v>89861</v>
      </c>
      <c r="D167" s="67">
        <v>3048.9</v>
      </c>
      <c r="E167" s="67">
        <v>3013.9</v>
      </c>
      <c r="F167" s="67">
        <v>1505.9</v>
      </c>
      <c r="G167" s="67">
        <v>18.2</v>
      </c>
      <c r="H167" s="69">
        <v>333.6</v>
      </c>
      <c r="I167" s="67">
        <f t="shared" si="16"/>
        <v>328735.2</v>
      </c>
      <c r="J167" s="76">
        <f>311325.5-355556.2+1198.4</f>
        <v>-43032.30000000001</v>
      </c>
      <c r="K167" s="67">
        <f>541329.4-166223.8</f>
        <v>375105.60000000003</v>
      </c>
      <c r="L167" s="68">
        <f>12000-2000</f>
        <v>10000</v>
      </c>
      <c r="M167" s="68">
        <v>2000</v>
      </c>
      <c r="N167" s="67">
        <v>20</v>
      </c>
      <c r="O167" s="71" t="s">
        <v>43</v>
      </c>
      <c r="P167" s="72">
        <v>14221.5</v>
      </c>
      <c r="Q167" s="68" t="s">
        <v>43</v>
      </c>
      <c r="R167" s="93">
        <f>81.3+71092.5-1198.4+887.9-1816.6-1256-2386.1-94984.2</f>
        <v>-29579.6</v>
      </c>
      <c r="S167" s="67">
        <f t="shared" si="17"/>
        <v>328735.20000000007</v>
      </c>
      <c r="T167" s="67">
        <v>1110766.5777777778</v>
      </c>
      <c r="U167" s="67">
        <f t="shared" si="18"/>
        <v>3.3789097662123733</v>
      </c>
    </row>
    <row r="168" spans="1:21" s="75" customFormat="1" ht="15.75" customHeight="1" hidden="1">
      <c r="A168" s="102" t="s">
        <v>121</v>
      </c>
      <c r="B168" s="67">
        <v>216072.1</v>
      </c>
      <c r="C168" s="67">
        <v>79716.8</v>
      </c>
      <c r="D168" s="67">
        <v>5700.2</v>
      </c>
      <c r="E168" s="67">
        <v>3810.3</v>
      </c>
      <c r="F168" s="67">
        <v>8658</v>
      </c>
      <c r="G168" s="67">
        <v>33.1</v>
      </c>
      <c r="H168" s="69">
        <v>323.5</v>
      </c>
      <c r="I168" s="67">
        <f t="shared" si="16"/>
        <v>314314</v>
      </c>
      <c r="J168" s="76">
        <f>273056.3-351304.8+1198.4</f>
        <v>-77050.1</v>
      </c>
      <c r="K168" s="67">
        <f>578061.5-179834.4</f>
        <v>398227.1</v>
      </c>
      <c r="L168" s="68">
        <f>6840.3-2000</f>
        <v>4840.3</v>
      </c>
      <c r="M168" s="68">
        <v>2000</v>
      </c>
      <c r="N168" s="67">
        <v>20</v>
      </c>
      <c r="O168" s="71" t="s">
        <v>43</v>
      </c>
      <c r="P168" s="72">
        <v>14713.9</v>
      </c>
      <c r="Q168" s="68" t="s">
        <v>43</v>
      </c>
      <c r="R168" s="93">
        <f>61.4+69762.2-1198.4+887.9-1252.3-1274.9-643.9-94779.2</f>
        <v>-28437.199999999997</v>
      </c>
      <c r="S168" s="67">
        <f t="shared" si="17"/>
        <v>314314</v>
      </c>
      <c r="T168" s="67">
        <v>1107152.9944444443</v>
      </c>
      <c r="U168" s="67">
        <f t="shared" si="18"/>
        <v>3.5224425079520616</v>
      </c>
    </row>
    <row r="169" spans="1:21" s="75" customFormat="1" ht="15.75" customHeight="1" hidden="1">
      <c r="A169" s="102" t="s">
        <v>165</v>
      </c>
      <c r="B169" s="67">
        <v>225234.3</v>
      </c>
      <c r="C169" s="67">
        <v>112668.5</v>
      </c>
      <c r="D169" s="67">
        <v>6435.6</v>
      </c>
      <c r="E169" s="67">
        <v>2770.6</v>
      </c>
      <c r="F169" s="67">
        <v>6415.9</v>
      </c>
      <c r="G169" s="67">
        <v>25.1</v>
      </c>
      <c r="H169" s="69">
        <v>463.8</v>
      </c>
      <c r="I169" s="67">
        <f t="shared" si="16"/>
        <v>354013.79999999993</v>
      </c>
      <c r="J169" s="76">
        <f>289429-349041.3+1198.4</f>
        <v>-58413.89999999999</v>
      </c>
      <c r="K169" s="67">
        <f>602681.6-172044.3</f>
        <v>430637.3</v>
      </c>
      <c r="L169" s="68">
        <f>2000-2000</f>
        <v>0</v>
      </c>
      <c r="M169" s="68">
        <v>2000</v>
      </c>
      <c r="N169" s="67">
        <v>20</v>
      </c>
      <c r="O169" s="71" t="s">
        <v>43</v>
      </c>
      <c r="P169" s="72">
        <v>14871.7</v>
      </c>
      <c r="Q169" s="68" t="s">
        <v>43</v>
      </c>
      <c r="R169" s="93">
        <f>61.4+68994.5-1198.4+887.9-2211.8-1234.8-6204.2-94195.9</f>
        <v>-35101.3</v>
      </c>
      <c r="S169" s="67">
        <f t="shared" si="17"/>
        <v>354013.80000000005</v>
      </c>
      <c r="T169" s="67">
        <v>1146162.1703703701</v>
      </c>
      <c r="U169" s="67">
        <f t="shared" si="18"/>
        <v>3.2376200316777775</v>
      </c>
    </row>
    <row r="170" spans="1:21" s="75" customFormat="1" ht="15.75" customHeight="1" hidden="1">
      <c r="A170" s="102" t="s">
        <v>166</v>
      </c>
      <c r="B170" s="67">
        <v>221763.4</v>
      </c>
      <c r="C170" s="67">
        <v>89671.1</v>
      </c>
      <c r="D170" s="67">
        <v>835</v>
      </c>
      <c r="E170" s="67">
        <v>2847.7</v>
      </c>
      <c r="F170" s="67">
        <v>4746.9</v>
      </c>
      <c r="G170" s="67">
        <v>22</v>
      </c>
      <c r="H170" s="69">
        <v>870.5</v>
      </c>
      <c r="I170" s="67">
        <f t="shared" si="16"/>
        <v>320756.6</v>
      </c>
      <c r="J170" s="76">
        <f>236298.7-350334.2+1198.4</f>
        <v>-112837.1</v>
      </c>
      <c r="K170" s="67">
        <f>609719.2-171980.6</f>
        <v>437738.6</v>
      </c>
      <c r="L170" s="68">
        <f>2000+11300+5193.2-2000</f>
        <v>16493.2</v>
      </c>
      <c r="M170" s="68">
        <v>2000</v>
      </c>
      <c r="N170" s="67">
        <v>20</v>
      </c>
      <c r="O170" s="71" t="s">
        <v>43</v>
      </c>
      <c r="P170" s="72">
        <v>14969.3</v>
      </c>
      <c r="Q170" s="68" t="s">
        <v>43</v>
      </c>
      <c r="R170" s="93">
        <f>61.4+69133-1198.4+887.9-3556.8-1411.3-6887.1-94656.1</f>
        <v>-37627.400000000016</v>
      </c>
      <c r="S170" s="67">
        <f t="shared" si="17"/>
        <v>320756.6</v>
      </c>
      <c r="T170" s="67">
        <v>1088495.485802469</v>
      </c>
      <c r="U170" s="67">
        <f t="shared" si="18"/>
        <v>3.393524827867826</v>
      </c>
    </row>
    <row r="171" spans="1:21" s="75" customFormat="1" ht="15.75" customHeight="1" hidden="1">
      <c r="A171" s="102" t="s">
        <v>167</v>
      </c>
      <c r="B171" s="67">
        <v>230723.7</v>
      </c>
      <c r="C171" s="67">
        <v>84351</v>
      </c>
      <c r="D171" s="67">
        <v>1611</v>
      </c>
      <c r="E171" s="67">
        <v>2209.5</v>
      </c>
      <c r="F171" s="67">
        <v>4368.5</v>
      </c>
      <c r="G171" s="67">
        <v>44.5</v>
      </c>
      <c r="H171" s="69">
        <v>1200</v>
      </c>
      <c r="I171" s="67">
        <f t="shared" si="16"/>
        <v>324508.2</v>
      </c>
      <c r="J171" s="76">
        <f>220631.2-354815.2+1198.4</f>
        <v>-132985.6</v>
      </c>
      <c r="K171" s="67">
        <f>641724.6-189143</f>
        <v>452581.6</v>
      </c>
      <c r="L171" s="68">
        <f>2000+15800+4000-2000</f>
        <v>19800</v>
      </c>
      <c r="M171" s="68">
        <v>2000</v>
      </c>
      <c r="N171" s="67">
        <v>20</v>
      </c>
      <c r="O171" s="71" t="s">
        <v>43</v>
      </c>
      <c r="P171" s="72">
        <v>14933.9</v>
      </c>
      <c r="Q171" s="68" t="s">
        <v>43</v>
      </c>
      <c r="R171" s="93">
        <f>48.3+70740.6-1198.4+887.9-5645.1-1187.7-1265-94222.3</f>
        <v>-31841.69999999999</v>
      </c>
      <c r="S171" s="67">
        <f t="shared" si="17"/>
        <v>324508.19999999995</v>
      </c>
      <c r="T171" s="67">
        <v>1106380</v>
      </c>
      <c r="U171" s="67">
        <f t="shared" si="18"/>
        <v>3.4094053709582686</v>
      </c>
    </row>
    <row r="172" spans="1:21" s="75" customFormat="1" ht="15.75" customHeight="1" hidden="1">
      <c r="A172" s="102"/>
      <c r="B172" s="67"/>
      <c r="C172" s="67"/>
      <c r="D172" s="67"/>
      <c r="E172" s="67"/>
      <c r="F172" s="67"/>
      <c r="G172" s="67"/>
      <c r="H172" s="69"/>
      <c r="I172" s="67"/>
      <c r="J172" s="76"/>
      <c r="K172" s="67"/>
      <c r="L172" s="68"/>
      <c r="M172" s="68"/>
      <c r="N172" s="67"/>
      <c r="O172" s="116"/>
      <c r="P172" s="72"/>
      <c r="Q172" s="68"/>
      <c r="R172" s="93"/>
      <c r="S172" s="67"/>
      <c r="T172" s="67"/>
      <c r="U172" s="67"/>
    </row>
    <row r="173" spans="1:21" s="75" customFormat="1" ht="15.75" customHeight="1" hidden="1">
      <c r="A173" s="102" t="s">
        <v>146</v>
      </c>
      <c r="B173" s="67">
        <v>226455.9</v>
      </c>
      <c r="C173" s="67">
        <v>97415.5</v>
      </c>
      <c r="D173" s="67">
        <v>1365.4</v>
      </c>
      <c r="E173" s="67">
        <v>1524.2</v>
      </c>
      <c r="F173" s="67">
        <v>2402.5</v>
      </c>
      <c r="G173" s="67">
        <v>52.7</v>
      </c>
      <c r="H173" s="69">
        <v>588.7</v>
      </c>
      <c r="I173" s="67">
        <f aca="true" t="shared" si="19" ref="I173:I184">H173+F173+E173+C173+B173+G173+D173</f>
        <v>329804.9</v>
      </c>
      <c r="J173" s="76">
        <f>214074.7-351129.1+1198.4</f>
        <v>-135855.99999999997</v>
      </c>
      <c r="K173" s="67">
        <f>598712.1-157721.4</f>
        <v>440990.69999999995</v>
      </c>
      <c r="L173" s="68">
        <f>2000+37705-2000</f>
        <v>37705</v>
      </c>
      <c r="M173" s="68">
        <v>2000</v>
      </c>
      <c r="N173" s="67">
        <v>20</v>
      </c>
      <c r="O173" s="71" t="s">
        <v>43</v>
      </c>
      <c r="P173" s="72">
        <v>15514.3</v>
      </c>
      <c r="Q173" s="68" t="s">
        <v>43</v>
      </c>
      <c r="R173" s="93">
        <f>48.3+71595.3-1198.4+887.9-5990-1258.3-545.6-94108.3</f>
        <v>-30569.1</v>
      </c>
      <c r="S173" s="67">
        <f aca="true" t="shared" si="20" ref="S173:S180">R173+Q173+P173+N173+M173+L173+K173+J173+O173</f>
        <v>329804.9</v>
      </c>
      <c r="T173" s="67">
        <v>1091814.066666667</v>
      </c>
      <c r="U173" s="67">
        <f aca="true" t="shared" si="21" ref="U173:U180">T173/I173</f>
        <v>3.3104846734134843</v>
      </c>
    </row>
    <row r="174" spans="1:21" s="75" customFormat="1" ht="15.75" customHeight="1" hidden="1">
      <c r="A174" s="102" t="s">
        <v>171</v>
      </c>
      <c r="B174" s="67">
        <v>228222</v>
      </c>
      <c r="C174" s="67">
        <v>82311.3</v>
      </c>
      <c r="D174" s="67">
        <v>10313.2</v>
      </c>
      <c r="E174" s="67">
        <v>2882.1</v>
      </c>
      <c r="F174" s="67">
        <v>9164.2</v>
      </c>
      <c r="G174" s="67">
        <v>6.9</v>
      </c>
      <c r="H174" s="69">
        <v>948.2</v>
      </c>
      <c r="I174" s="67">
        <f t="shared" si="19"/>
        <v>333847.9</v>
      </c>
      <c r="J174" s="76">
        <f>176947.2-344743.7+1198.4</f>
        <v>-166598.1</v>
      </c>
      <c r="K174" s="67">
        <f>626840.4-158336.1</f>
        <v>468504.30000000005</v>
      </c>
      <c r="L174" s="68">
        <f>2000+43325+639.8-2000</f>
        <v>43964.8</v>
      </c>
      <c r="M174" s="68">
        <v>2000</v>
      </c>
      <c r="N174" s="67">
        <v>20</v>
      </c>
      <c r="O174" s="71" t="s">
        <v>43</v>
      </c>
      <c r="P174" s="72">
        <v>15543.1</v>
      </c>
      <c r="Q174" s="68" t="s">
        <v>43</v>
      </c>
      <c r="R174" s="93">
        <f>48.3+72112-1198.4+887.9-6827.1-1188.5+398.2-93818.6</f>
        <v>-29586.200000000004</v>
      </c>
      <c r="S174" s="67">
        <f t="shared" si="20"/>
        <v>333847.9</v>
      </c>
      <c r="T174" s="67">
        <v>1108364.6333333333</v>
      </c>
      <c r="U174" s="67">
        <f t="shared" si="21"/>
        <v>3.3199688640645433</v>
      </c>
    </row>
    <row r="175" spans="1:21" s="75" customFormat="1" ht="15.75" customHeight="1" hidden="1">
      <c r="A175" s="102" t="s">
        <v>145</v>
      </c>
      <c r="B175" s="67">
        <v>219964.2</v>
      </c>
      <c r="C175" s="67">
        <v>94301.6</v>
      </c>
      <c r="D175" s="67">
        <v>2510.7</v>
      </c>
      <c r="E175" s="67">
        <v>2734.9</v>
      </c>
      <c r="F175" s="67">
        <v>2813.9</v>
      </c>
      <c r="G175" s="67">
        <v>26.4</v>
      </c>
      <c r="H175" s="69">
        <v>910.3</v>
      </c>
      <c r="I175" s="67">
        <f t="shared" si="19"/>
        <v>323262.00000000006</v>
      </c>
      <c r="J175" s="76">
        <f>154021.4-350173.8+1198.4</f>
        <v>-194954</v>
      </c>
      <c r="K175" s="67">
        <f>635625.1-181930.5</f>
        <v>453694.6</v>
      </c>
      <c r="L175" s="68">
        <f>2000+71527.8+322.2-2000</f>
        <v>71850</v>
      </c>
      <c r="M175" s="68">
        <v>2000</v>
      </c>
      <c r="N175" s="67">
        <v>20</v>
      </c>
      <c r="O175" s="71" t="s">
        <v>43</v>
      </c>
      <c r="P175" s="72">
        <v>15893</v>
      </c>
      <c r="Q175" s="68" t="s">
        <v>43</v>
      </c>
      <c r="R175" s="93">
        <f>48.3+72033.5-1198.4+887.9-5204-1206.1+3581.8-94184.6</f>
        <v>-25241.600000000006</v>
      </c>
      <c r="S175" s="67">
        <f t="shared" si="20"/>
        <v>323262</v>
      </c>
      <c r="T175" s="67">
        <v>1079593.5999999999</v>
      </c>
      <c r="U175" s="67">
        <f t="shared" si="21"/>
        <v>3.3396860750722315</v>
      </c>
    </row>
    <row r="176" spans="1:21" s="75" customFormat="1" ht="15.75" customHeight="1" hidden="1">
      <c r="A176" s="102" t="s">
        <v>172</v>
      </c>
      <c r="B176" s="67">
        <v>230212</v>
      </c>
      <c r="C176" s="67">
        <v>112572.5</v>
      </c>
      <c r="D176" s="67">
        <v>1361.9</v>
      </c>
      <c r="E176" s="67">
        <v>1956.8</v>
      </c>
      <c r="F176" s="67">
        <v>3187.7</v>
      </c>
      <c r="G176" s="67">
        <v>15.2</v>
      </c>
      <c r="H176" s="69">
        <v>438.4</v>
      </c>
      <c r="I176" s="67">
        <f t="shared" si="19"/>
        <v>349744.50000000006</v>
      </c>
      <c r="J176" s="76">
        <f>178335-355049.6+1198.4</f>
        <v>-175516.19999999998</v>
      </c>
      <c r="K176" s="67">
        <f>640405.2-184360.9</f>
        <v>456044.29999999993</v>
      </c>
      <c r="L176" s="68">
        <f>2000+71877.8+322.2-2000</f>
        <v>72200</v>
      </c>
      <c r="M176" s="68">
        <v>2000</v>
      </c>
      <c r="N176" s="67">
        <v>20</v>
      </c>
      <c r="O176" s="116" t="s">
        <v>43</v>
      </c>
      <c r="P176" s="72">
        <v>16072.6</v>
      </c>
      <c r="Q176" s="68" t="s">
        <v>43</v>
      </c>
      <c r="R176" s="93">
        <f>86.1+72548.4-1198.4+887.9-5204-1352.2+7259.2-94103.2</f>
        <v>-21076.199999999997</v>
      </c>
      <c r="S176" s="67">
        <f t="shared" si="20"/>
        <v>349744.5</v>
      </c>
      <c r="T176" s="67">
        <v>1105144.2666666664</v>
      </c>
      <c r="U176" s="67">
        <f t="shared" si="21"/>
        <v>3.159861746694133</v>
      </c>
    </row>
    <row r="177" spans="1:21" s="75" customFormat="1" ht="15.75" customHeight="1" hidden="1">
      <c r="A177" s="102" t="s">
        <v>173</v>
      </c>
      <c r="B177" s="67">
        <v>230195.9</v>
      </c>
      <c r="C177" s="67">
        <v>105627.9</v>
      </c>
      <c r="D177" s="67">
        <v>7539.1</v>
      </c>
      <c r="E177" s="67">
        <v>2568.2</v>
      </c>
      <c r="F177" s="67">
        <v>7710.2</v>
      </c>
      <c r="G177" s="67">
        <v>37.6</v>
      </c>
      <c r="H177" s="69">
        <v>798.3</v>
      </c>
      <c r="I177" s="67">
        <f t="shared" si="19"/>
        <v>354477.19999999995</v>
      </c>
      <c r="J177" s="76">
        <f>155514.5-352456.3+1198.4</f>
        <v>-195743.4</v>
      </c>
      <c r="K177" s="67">
        <f>655244.3-180986.2</f>
        <v>474258.10000000003</v>
      </c>
      <c r="L177" s="68">
        <f>2000+81677.8+322.2-2000</f>
        <v>82000</v>
      </c>
      <c r="M177" s="68">
        <v>2000</v>
      </c>
      <c r="N177" s="67">
        <v>20</v>
      </c>
      <c r="O177" s="116" t="s">
        <v>43</v>
      </c>
      <c r="P177" s="72">
        <v>16307.1</v>
      </c>
      <c r="Q177" s="68" t="s">
        <v>43</v>
      </c>
      <c r="R177" s="93">
        <f>86.1+73194.1-1198.4+887.9-6494.3-1955.5+5109.2-93993.7</f>
        <v>-24364.59999999999</v>
      </c>
      <c r="S177" s="67">
        <f t="shared" si="20"/>
        <v>354477.20000000007</v>
      </c>
      <c r="T177" s="67">
        <v>1104586.5333333334</v>
      </c>
      <c r="U177" s="67">
        <f t="shared" si="21"/>
        <v>3.1161003679033055</v>
      </c>
    </row>
    <row r="178" spans="1:21" s="75" customFormat="1" ht="15.75" hidden="1">
      <c r="A178" s="102" t="s">
        <v>174</v>
      </c>
      <c r="B178" s="67">
        <v>255415.5</v>
      </c>
      <c r="C178" s="67">
        <v>98845.3</v>
      </c>
      <c r="D178" s="67">
        <v>3186.6</v>
      </c>
      <c r="E178" s="67">
        <v>1740</v>
      </c>
      <c r="F178" s="67">
        <v>4307.5</v>
      </c>
      <c r="G178" s="67">
        <v>16.1</v>
      </c>
      <c r="H178" s="69">
        <v>557.9</v>
      </c>
      <c r="I178" s="67">
        <f t="shared" si="19"/>
        <v>364068.89999999997</v>
      </c>
      <c r="J178" s="76">
        <f>164637-351838.8+1198.4</f>
        <v>-186003.4</v>
      </c>
      <c r="K178" s="67">
        <f>650423.6-193317.2</f>
        <v>457106.39999999997</v>
      </c>
      <c r="L178" s="68">
        <f>100677.8+322.2</f>
        <v>101000</v>
      </c>
      <c r="M178" s="68">
        <v>2000</v>
      </c>
      <c r="N178" s="67">
        <v>20</v>
      </c>
      <c r="O178" s="116"/>
      <c r="P178" s="72">
        <v>16553.2</v>
      </c>
      <c r="Q178" s="68" t="s">
        <v>43</v>
      </c>
      <c r="R178" s="93">
        <f>73.2+72742.7-1198.4+887.9-5535.4-1938.5+2252.6-93891.4</f>
        <v>-26607.29999999999</v>
      </c>
      <c r="S178" s="67">
        <f t="shared" si="20"/>
        <v>364068.8999999999</v>
      </c>
      <c r="T178" s="67">
        <v>1122380.2999999998</v>
      </c>
      <c r="U178" s="67">
        <f t="shared" si="21"/>
        <v>3.0828788177182944</v>
      </c>
    </row>
    <row r="179" spans="1:21" s="75" customFormat="1" ht="15.75" hidden="1">
      <c r="A179" s="102" t="s">
        <v>175</v>
      </c>
      <c r="B179" s="67">
        <v>265902.6</v>
      </c>
      <c r="C179" s="67">
        <v>101091.2</v>
      </c>
      <c r="D179" s="67">
        <v>6715.9</v>
      </c>
      <c r="E179" s="67">
        <v>2646.6</v>
      </c>
      <c r="F179" s="67">
        <v>5193.3</v>
      </c>
      <c r="G179" s="67">
        <v>8.4</v>
      </c>
      <c r="H179" s="69">
        <v>772.4</v>
      </c>
      <c r="I179" s="67">
        <f t="shared" si="19"/>
        <v>382330.4</v>
      </c>
      <c r="J179" s="76">
        <f>159362.9-346787.6+1198.4</f>
        <v>-186226.3</v>
      </c>
      <c r="K179" s="67">
        <f>646289-182155.2</f>
        <v>464133.8</v>
      </c>
      <c r="L179" s="68">
        <f>111114.8+322.2</f>
        <v>111437</v>
      </c>
      <c r="M179" s="68">
        <v>2000</v>
      </c>
      <c r="N179" s="67">
        <v>20</v>
      </c>
      <c r="O179" s="116"/>
      <c r="P179" s="72">
        <v>16490.9</v>
      </c>
      <c r="Q179" s="68" t="s">
        <v>43</v>
      </c>
      <c r="R179" s="93">
        <f>73.2+73130.3-1198.4+887.9-4201.4-1168.8+1465.7-94513.5</f>
        <v>-25525</v>
      </c>
      <c r="S179" s="67">
        <f t="shared" si="20"/>
        <v>382330.39999999997</v>
      </c>
      <c r="T179" s="67">
        <v>1124321</v>
      </c>
      <c r="U179" s="67">
        <f t="shared" si="21"/>
        <v>2.9407052120365003</v>
      </c>
    </row>
    <row r="180" spans="1:21" s="75" customFormat="1" ht="15.75" hidden="1">
      <c r="A180" s="102" t="s">
        <v>176</v>
      </c>
      <c r="B180" s="67">
        <v>259211.2</v>
      </c>
      <c r="C180" s="67">
        <v>96485.6</v>
      </c>
      <c r="D180" s="67">
        <v>678.2</v>
      </c>
      <c r="E180" s="67">
        <v>3581.1</v>
      </c>
      <c r="F180" s="67">
        <v>4709.8</v>
      </c>
      <c r="G180" s="67">
        <v>5.4</v>
      </c>
      <c r="H180" s="69">
        <v>2762.9</v>
      </c>
      <c r="I180" s="67">
        <f t="shared" si="19"/>
        <v>367434.20000000007</v>
      </c>
      <c r="J180" s="76">
        <f>146603.3+1198.4-340352.3</f>
        <v>-192550.6</v>
      </c>
      <c r="K180" s="67">
        <f>636965.6-172300.1</f>
        <v>464665.5</v>
      </c>
      <c r="L180" s="68">
        <v>101883</v>
      </c>
      <c r="M180" s="68">
        <v>2000</v>
      </c>
      <c r="N180" s="67">
        <v>20</v>
      </c>
      <c r="O180" s="116"/>
      <c r="P180" s="72">
        <v>16453.2</v>
      </c>
      <c r="Q180" s="68" t="s">
        <v>43</v>
      </c>
      <c r="R180" s="93">
        <f>102.9+73093.3-1198.4+887.8-4932.5-1235.7+2656.6-94410.9</f>
        <v>-25036.89999999998</v>
      </c>
      <c r="S180" s="67">
        <f t="shared" si="20"/>
        <v>367434.20000000007</v>
      </c>
      <c r="T180" s="67">
        <v>1133928.8</v>
      </c>
      <c r="U180" s="67">
        <f t="shared" si="21"/>
        <v>3.0860730982581366</v>
      </c>
    </row>
    <row r="181" spans="1:21" s="75" customFormat="1" ht="15.75" hidden="1">
      <c r="A181" s="102" t="s">
        <v>177</v>
      </c>
      <c r="B181" s="67">
        <v>254499.1</v>
      </c>
      <c r="C181" s="67">
        <v>124775.9</v>
      </c>
      <c r="D181" s="67">
        <v>834</v>
      </c>
      <c r="E181" s="67">
        <v>3523.6</v>
      </c>
      <c r="F181" s="67">
        <v>4926.1</v>
      </c>
      <c r="G181" s="67">
        <v>3.6</v>
      </c>
      <c r="H181" s="69">
        <v>1138.3</v>
      </c>
      <c r="I181" s="67">
        <f t="shared" si="19"/>
        <v>389700.6</v>
      </c>
      <c r="J181" s="76">
        <f>156195.1+1198.4-338994.5</f>
        <v>-181601</v>
      </c>
      <c r="K181" s="67">
        <f>644432-186508.4</f>
        <v>457923.6</v>
      </c>
      <c r="L181" s="68">
        <v>118705</v>
      </c>
      <c r="M181" s="68">
        <v>2000</v>
      </c>
      <c r="N181" s="67">
        <v>20</v>
      </c>
      <c r="O181" s="116"/>
      <c r="P181" s="72">
        <v>16291.4</v>
      </c>
      <c r="Q181" s="68" t="s">
        <v>43</v>
      </c>
      <c r="R181" s="93">
        <f>102.9+72767.7-1198.4+887.8-5791.3-1393.1+5027.8-94041.8</f>
        <v>-23638.40000000001</v>
      </c>
      <c r="S181" s="67">
        <f>R181+Q181+P181+N181+M181+L181+K181+J181+O181</f>
        <v>389700.6</v>
      </c>
      <c r="T181" s="67">
        <v>1136853.5</v>
      </c>
      <c r="U181" s="67">
        <f>T181/I181</f>
        <v>2.917248523610177</v>
      </c>
    </row>
    <row r="182" spans="1:21" s="75" customFormat="1" ht="15.75" hidden="1">
      <c r="A182" s="102" t="s">
        <v>178</v>
      </c>
      <c r="B182" s="67">
        <v>254519.8</v>
      </c>
      <c r="C182" s="67">
        <v>112931.8</v>
      </c>
      <c r="D182" s="67">
        <v>1498.7</v>
      </c>
      <c r="E182" s="67">
        <v>3149.6</v>
      </c>
      <c r="F182" s="67">
        <v>3531.1</v>
      </c>
      <c r="G182" s="67">
        <v>5.2</v>
      </c>
      <c r="H182" s="69">
        <v>1875</v>
      </c>
      <c r="I182" s="67">
        <f t="shared" si="19"/>
        <v>377511.2</v>
      </c>
      <c r="J182" s="76">
        <f>153273.3+1198.4-336106.5</f>
        <v>-181634.80000000002</v>
      </c>
      <c r="K182" s="67">
        <f>660707-190098.8</f>
        <v>470608.2</v>
      </c>
      <c r="L182" s="68">
        <v>101274</v>
      </c>
      <c r="M182" s="68">
        <v>2000</v>
      </c>
      <c r="N182" s="67">
        <v>20</v>
      </c>
      <c r="O182" s="116"/>
      <c r="P182" s="72">
        <v>16036.3</v>
      </c>
      <c r="Q182" s="68" t="s">
        <v>43</v>
      </c>
      <c r="R182" s="93">
        <f>102.9+72584.3-1198.4+887.8-7752-1388.8+148.2-94176.5</f>
        <v>-30792.5</v>
      </c>
      <c r="S182" s="67">
        <f>R182+Q182+P182+N182+M182+L182+K182+J182+O182</f>
        <v>377511.19999999995</v>
      </c>
      <c r="T182" s="67">
        <v>1142474.4666666666</v>
      </c>
      <c r="U182" s="67">
        <f>T182/I182</f>
        <v>3.02633264037376</v>
      </c>
    </row>
    <row r="183" spans="1:21" s="75" customFormat="1" ht="15.75" hidden="1">
      <c r="A183" s="102" t="s">
        <v>179</v>
      </c>
      <c r="B183" s="67">
        <v>255283.4</v>
      </c>
      <c r="C183" s="67">
        <v>125278.8</v>
      </c>
      <c r="D183" s="67">
        <v>8178.4</v>
      </c>
      <c r="E183" s="67">
        <v>2943.8</v>
      </c>
      <c r="F183" s="67">
        <v>9000.1</v>
      </c>
      <c r="G183" s="67">
        <v>3.2</v>
      </c>
      <c r="H183" s="69">
        <v>1378.3</v>
      </c>
      <c r="I183" s="67">
        <f t="shared" si="19"/>
        <v>402066.00000000006</v>
      </c>
      <c r="J183" s="76">
        <f>155269.4+1198.4-330545.8</f>
        <v>-174078</v>
      </c>
      <c r="K183" s="67">
        <f>689148-194404.9</f>
        <v>494743.1</v>
      </c>
      <c r="L183" s="68">
        <v>101050</v>
      </c>
      <c r="M183" s="68">
        <v>2000</v>
      </c>
      <c r="N183" s="67">
        <v>20</v>
      </c>
      <c r="O183" s="116"/>
      <c r="P183" s="72">
        <v>15955.6</v>
      </c>
      <c r="Q183" s="68" t="s">
        <v>43</v>
      </c>
      <c r="R183" s="93">
        <f>83.3+77107.9-1198.4+887.8-10573.9-1507.9-4929-97494.5</f>
        <v>-37624.69999999999</v>
      </c>
      <c r="S183" s="67">
        <f>R183+Q183+P183+N183+M183+L183+K183+J183+O183</f>
        <v>402066</v>
      </c>
      <c r="T183" s="67">
        <v>1162715.7888888887</v>
      </c>
      <c r="U183" s="67">
        <f>T183/I183</f>
        <v>2.8918530512127076</v>
      </c>
    </row>
    <row r="184" spans="1:21" s="75" customFormat="1" ht="15.75" hidden="1">
      <c r="A184" s="102" t="s">
        <v>180</v>
      </c>
      <c r="B184" s="67">
        <v>267512.5</v>
      </c>
      <c r="C184" s="67">
        <v>134302.8</v>
      </c>
      <c r="D184" s="67">
        <v>5995.8</v>
      </c>
      <c r="E184" s="67">
        <v>3575.7</v>
      </c>
      <c r="F184" s="67">
        <v>6509.8</v>
      </c>
      <c r="G184" s="67">
        <v>7.7</v>
      </c>
      <c r="H184" s="69">
        <v>1319.7</v>
      </c>
      <c r="I184" s="67">
        <f t="shared" si="19"/>
        <v>419224</v>
      </c>
      <c r="J184" s="76">
        <f>165236.3+1198.4-328508.5</f>
        <v>-162073.80000000002</v>
      </c>
      <c r="K184" s="67">
        <f>752299.8-243073.6</f>
        <v>509226.20000000007</v>
      </c>
      <c r="L184" s="68">
        <v>87000</v>
      </c>
      <c r="M184" s="68">
        <v>2000</v>
      </c>
      <c r="N184" s="67">
        <v>20</v>
      </c>
      <c r="O184" s="116"/>
      <c r="P184" s="72">
        <v>15731</v>
      </c>
      <c r="Q184" s="68" t="s">
        <v>43</v>
      </c>
      <c r="R184" s="93">
        <f>83.3+887.8+84074.1-1198.4-12385-1350.6-97088.3-5702.3</f>
        <v>-32679.39999999999</v>
      </c>
      <c r="S184" s="67">
        <f>R184+Q184+P184+N184+M184+L184+K184+J184+O184</f>
        <v>419224</v>
      </c>
      <c r="T184" s="67">
        <v>1187101.8</v>
      </c>
      <c r="U184" s="67">
        <f>T184/I184</f>
        <v>2.8316646947693838</v>
      </c>
    </row>
    <row r="185" spans="1:21" s="75" customFormat="1" ht="15.75" hidden="1">
      <c r="A185" s="102"/>
      <c r="B185" s="67"/>
      <c r="C185" s="67"/>
      <c r="D185" s="67"/>
      <c r="E185" s="67"/>
      <c r="F185" s="67"/>
      <c r="G185" s="67"/>
      <c r="H185" s="69"/>
      <c r="I185" s="67"/>
      <c r="J185" s="76"/>
      <c r="K185" s="67"/>
      <c r="L185" s="68"/>
      <c r="M185" s="68"/>
      <c r="N185" s="67"/>
      <c r="O185" s="116"/>
      <c r="P185" s="72"/>
      <c r="Q185" s="68"/>
      <c r="R185" s="93"/>
      <c r="S185" s="67"/>
      <c r="T185" s="67"/>
      <c r="U185" s="67"/>
    </row>
    <row r="186" spans="1:21" s="75" customFormat="1" ht="15.75" hidden="1">
      <c r="A186" s="102" t="s">
        <v>159</v>
      </c>
      <c r="B186" s="67">
        <v>257413.7</v>
      </c>
      <c r="C186" s="67">
        <v>190039</v>
      </c>
      <c r="D186" s="67">
        <v>5009.2</v>
      </c>
      <c r="E186" s="67">
        <v>2479</v>
      </c>
      <c r="F186" s="67">
        <v>5833.8</v>
      </c>
      <c r="G186" s="67">
        <v>2.2</v>
      </c>
      <c r="H186" s="69">
        <v>22330.5</v>
      </c>
      <c r="I186" s="67">
        <f aca="true" t="shared" si="22" ref="I186:I210">H186+F186+E186+C186+B186+G186+D186</f>
        <v>483107.4</v>
      </c>
      <c r="J186" s="76">
        <v>-140840.69999999998</v>
      </c>
      <c r="K186" s="67">
        <v>518823.8999999999</v>
      </c>
      <c r="L186" s="68">
        <f>106100+9836.4</f>
        <v>115936.4</v>
      </c>
      <c r="M186" s="68">
        <v>1000</v>
      </c>
      <c r="N186" s="67">
        <v>20</v>
      </c>
      <c r="O186" s="116"/>
      <c r="P186" s="72">
        <v>16300.9</v>
      </c>
      <c r="Q186" s="68" t="s">
        <v>43</v>
      </c>
      <c r="R186" s="93">
        <f>83.3+887.8+94399.1-1198.4-22328.5-1360.3-96562.9-2053.2</f>
        <v>-28133.09999999998</v>
      </c>
      <c r="S186" s="67">
        <f aca="true" t="shared" si="23" ref="S186:S210">R186+Q186+P186+N186+M186+L186+K186+J186+O186</f>
        <v>483107.3999999999</v>
      </c>
      <c r="T186" s="67">
        <v>1226183.0666666667</v>
      </c>
      <c r="U186" s="67">
        <f aca="true" t="shared" si="24" ref="U186:U210">T186/I186</f>
        <v>2.5381169211373424</v>
      </c>
    </row>
    <row r="187" spans="1:21" s="75" customFormat="1" ht="15.75" hidden="1">
      <c r="A187" s="102" t="s">
        <v>183</v>
      </c>
      <c r="B187" s="67">
        <v>258459.9</v>
      </c>
      <c r="C187" s="67">
        <v>164896.8</v>
      </c>
      <c r="D187" s="67">
        <v>4951.3</v>
      </c>
      <c r="E187" s="67">
        <v>1876.3999999999999</v>
      </c>
      <c r="F187" s="67">
        <v>6435.300000000001</v>
      </c>
      <c r="G187" s="67">
        <v>2.2</v>
      </c>
      <c r="H187" s="69">
        <v>22811.899999999998</v>
      </c>
      <c r="I187" s="67">
        <f t="shared" si="22"/>
        <v>459433.8</v>
      </c>
      <c r="J187" s="76">
        <v>-116167</v>
      </c>
      <c r="K187" s="67">
        <v>494749</v>
      </c>
      <c r="L187" s="68">
        <v>95000</v>
      </c>
      <c r="M187" s="68">
        <v>1000</v>
      </c>
      <c r="N187" s="67">
        <v>20</v>
      </c>
      <c r="O187" s="116"/>
      <c r="P187" s="72">
        <v>18796.7</v>
      </c>
      <c r="Q187" s="68" t="s">
        <v>43</v>
      </c>
      <c r="R187" s="93">
        <f>83.3+887.8+94083.8-1198.4-23253.3-1423.4-97776.5-5368.2</f>
        <v>-33964.89999999998</v>
      </c>
      <c r="S187" s="67">
        <f t="shared" si="23"/>
        <v>459433.80000000005</v>
      </c>
      <c r="T187" s="67">
        <v>1253536.8333333333</v>
      </c>
      <c r="U187" s="67">
        <f t="shared" si="24"/>
        <v>2.728438424280785</v>
      </c>
    </row>
    <row r="188" spans="1:21" s="75" customFormat="1" ht="15.75" hidden="1">
      <c r="A188" s="102" t="s">
        <v>194</v>
      </c>
      <c r="B188" s="67">
        <v>267562.4</v>
      </c>
      <c r="C188" s="67">
        <v>167615</v>
      </c>
      <c r="D188" s="67">
        <v>14379.7</v>
      </c>
      <c r="E188" s="67">
        <v>2634.1</v>
      </c>
      <c r="F188" s="67">
        <v>12223.899999999998</v>
      </c>
      <c r="G188" s="67">
        <v>157.1</v>
      </c>
      <c r="H188" s="69">
        <v>21755.6</v>
      </c>
      <c r="I188" s="67">
        <f t="shared" si="22"/>
        <v>486327.8</v>
      </c>
      <c r="J188" s="76">
        <v>-133135.90000000002</v>
      </c>
      <c r="K188" s="67">
        <v>544205.1</v>
      </c>
      <c r="L188" s="68">
        <v>87840</v>
      </c>
      <c r="M188" s="68">
        <v>1000</v>
      </c>
      <c r="N188" s="67">
        <v>20</v>
      </c>
      <c r="O188" s="116"/>
      <c r="P188" s="72">
        <v>20527</v>
      </c>
      <c r="Q188" s="68" t="s">
        <v>43</v>
      </c>
      <c r="R188" s="93">
        <f>83.3+887.8+93988.3-1198.4-24941.4-1432.4-96325.5-5190.1</f>
        <v>-34128.39999999999</v>
      </c>
      <c r="S188" s="67">
        <f t="shared" si="23"/>
        <v>486327.79999999993</v>
      </c>
      <c r="T188" s="67">
        <v>1299479.7</v>
      </c>
      <c r="U188" s="67">
        <f t="shared" si="24"/>
        <v>2.6720243013045932</v>
      </c>
    </row>
    <row r="189" spans="1:21" s="75" customFormat="1" ht="15.75" hidden="1">
      <c r="A189" s="102" t="s">
        <v>195</v>
      </c>
      <c r="B189" s="67">
        <v>269369.5</v>
      </c>
      <c r="C189" s="67">
        <v>160086.1</v>
      </c>
      <c r="D189" s="67">
        <v>11933.800000000001</v>
      </c>
      <c r="E189" s="67">
        <v>2462.2000000000003</v>
      </c>
      <c r="F189" s="67">
        <v>11015.3</v>
      </c>
      <c r="G189" s="67">
        <v>89.2</v>
      </c>
      <c r="H189" s="69">
        <v>27316.7</v>
      </c>
      <c r="I189" s="67">
        <f t="shared" si="22"/>
        <v>482272.8</v>
      </c>
      <c r="J189" s="76">
        <v>-140187.20000000004</v>
      </c>
      <c r="K189" s="67">
        <v>534377.3</v>
      </c>
      <c r="L189" s="68">
        <v>100000</v>
      </c>
      <c r="M189" s="68">
        <v>1000</v>
      </c>
      <c r="N189" s="67">
        <v>20</v>
      </c>
      <c r="O189" s="116"/>
      <c r="P189" s="72">
        <v>21248.3</v>
      </c>
      <c r="Q189" s="68" t="s">
        <v>43</v>
      </c>
      <c r="R189" s="93">
        <f>83.3+887.8+95617.3-1198.4-25656.8-1427.8-96388.4-828.7-5273.9</f>
        <v>-34185.599999999984</v>
      </c>
      <c r="S189" s="67">
        <f t="shared" si="23"/>
        <v>482272.79999999993</v>
      </c>
      <c r="T189" s="67">
        <v>1334499.8</v>
      </c>
      <c r="U189" s="67">
        <f t="shared" si="24"/>
        <v>2.767105671313</v>
      </c>
    </row>
    <row r="190" spans="1:21" s="75" customFormat="1" ht="15.75" hidden="1">
      <c r="A190" s="102" t="s">
        <v>198</v>
      </c>
      <c r="B190" s="67">
        <v>276838.1</v>
      </c>
      <c r="C190" s="67">
        <v>152045.6</v>
      </c>
      <c r="D190" s="67">
        <v>11390.6</v>
      </c>
      <c r="E190" s="67">
        <v>1629.7999999999997</v>
      </c>
      <c r="F190" s="67">
        <v>13862.1</v>
      </c>
      <c r="G190" s="67">
        <v>29.3</v>
      </c>
      <c r="H190" s="69">
        <v>35984.9</v>
      </c>
      <c r="I190" s="67">
        <f t="shared" si="22"/>
        <v>491780.39999999997</v>
      </c>
      <c r="J190" s="76">
        <v>-104424.50000000006</v>
      </c>
      <c r="K190" s="67">
        <v>505175.29999999993</v>
      </c>
      <c r="L190" s="68">
        <f>95430+4735.4</f>
        <v>100165.4</v>
      </c>
      <c r="M190" s="68">
        <v>1000</v>
      </c>
      <c r="N190" s="67">
        <v>20</v>
      </c>
      <c r="O190" s="116"/>
      <c r="P190" s="72">
        <v>22163.4</v>
      </c>
      <c r="Q190" s="68" t="s">
        <v>43</v>
      </c>
      <c r="R190" s="93">
        <f>83.3+887.8+96633-1198.4-25659-1477.6-101590.2+1.9</f>
        <v>-32319.19999999999</v>
      </c>
      <c r="S190" s="67">
        <f t="shared" si="23"/>
        <v>491780.39999999985</v>
      </c>
      <c r="T190" s="67">
        <v>1372733.4999999998</v>
      </c>
      <c r="U190" s="67">
        <f t="shared" si="24"/>
        <v>2.7913546371510534</v>
      </c>
    </row>
    <row r="191" spans="1:21" s="75" customFormat="1" ht="15.75" hidden="1">
      <c r="A191" s="102" t="s">
        <v>199</v>
      </c>
      <c r="B191" s="67">
        <v>301775.5</v>
      </c>
      <c r="C191" s="67">
        <v>101969.2</v>
      </c>
      <c r="D191" s="67">
        <v>12376</v>
      </c>
      <c r="E191" s="67">
        <v>2615.3999999999996</v>
      </c>
      <c r="F191" s="67">
        <v>17691.3</v>
      </c>
      <c r="G191" s="67">
        <v>11</v>
      </c>
      <c r="H191" s="69">
        <v>31187.100000000002</v>
      </c>
      <c r="I191" s="67">
        <f t="shared" si="22"/>
        <v>467625.5</v>
      </c>
      <c r="J191" s="76">
        <v>-140476.99999999994</v>
      </c>
      <c r="K191" s="67">
        <v>542983.6000000001</v>
      </c>
      <c r="L191" s="68">
        <f>54580+15157.5</f>
        <v>69737.5</v>
      </c>
      <c r="M191" s="68">
        <v>1000</v>
      </c>
      <c r="N191" s="67">
        <v>20</v>
      </c>
      <c r="O191" s="116"/>
      <c r="P191" s="72">
        <v>22527.9</v>
      </c>
      <c r="Q191" s="68" t="s">
        <v>43</v>
      </c>
      <c r="R191" s="93">
        <f>83.3+887.8+99923.4-1198.4-28009-1445.2-98750.5+342.1</f>
        <v>-28166.499999999993</v>
      </c>
      <c r="S191" s="67">
        <f t="shared" si="23"/>
        <v>467625.5000000002</v>
      </c>
      <c r="T191" s="67">
        <v>1417053.1</v>
      </c>
      <c r="U191" s="67">
        <f t="shared" si="24"/>
        <v>3.0303161397314735</v>
      </c>
    </row>
    <row r="192" spans="1:21" s="75" customFormat="1" ht="15.75" hidden="1">
      <c r="A192" s="102" t="s">
        <v>205</v>
      </c>
      <c r="B192" s="67">
        <v>304085.6</v>
      </c>
      <c r="C192" s="67">
        <v>97125.9</v>
      </c>
      <c r="D192" s="67">
        <v>13864.5</v>
      </c>
      <c r="E192" s="67">
        <v>1957.6</v>
      </c>
      <c r="F192" s="67">
        <v>20166.2</v>
      </c>
      <c r="G192" s="67">
        <v>7.9</v>
      </c>
      <c r="H192" s="69">
        <v>30645</v>
      </c>
      <c r="I192" s="67">
        <f t="shared" si="22"/>
        <v>467852.69999999995</v>
      </c>
      <c r="J192" s="76">
        <v>-165541.40000000002</v>
      </c>
      <c r="K192" s="67">
        <v>517423.10000000003</v>
      </c>
      <c r="L192" s="68">
        <f>108410+3488.5</f>
        <v>111898.5</v>
      </c>
      <c r="M192" s="68">
        <v>1000</v>
      </c>
      <c r="N192" s="67">
        <v>20</v>
      </c>
      <c r="O192" s="116"/>
      <c r="P192" s="72">
        <v>23671.7</v>
      </c>
      <c r="Q192" s="68" t="s">
        <v>43</v>
      </c>
      <c r="R192" s="93">
        <f>83.3+887.8+108390-1198.4-30132.1-1452.5-97724.8+527.5</f>
        <v>-20619.199999999997</v>
      </c>
      <c r="S192" s="67">
        <f t="shared" si="23"/>
        <v>467852.70000000007</v>
      </c>
      <c r="T192" s="67">
        <v>1420411.4166666667</v>
      </c>
      <c r="U192" s="67">
        <f t="shared" si="24"/>
        <v>3.03602269831224</v>
      </c>
    </row>
    <row r="193" spans="1:21" s="75" customFormat="1" ht="15.75" hidden="1">
      <c r="A193" s="102" t="s">
        <v>208</v>
      </c>
      <c r="B193" s="67">
        <v>307668.6</v>
      </c>
      <c r="C193" s="67">
        <v>142342.4</v>
      </c>
      <c r="D193" s="67">
        <v>5930</v>
      </c>
      <c r="E193" s="67">
        <v>1440.9</v>
      </c>
      <c r="F193" s="67">
        <v>19397.8</v>
      </c>
      <c r="G193" s="67">
        <v>16.2</v>
      </c>
      <c r="H193" s="69">
        <v>30509.1</v>
      </c>
      <c r="I193" s="67">
        <f t="shared" si="22"/>
        <v>507304.99999999994</v>
      </c>
      <c r="J193" s="76">
        <v>-141377.3</v>
      </c>
      <c r="K193" s="67">
        <v>527189.8999999999</v>
      </c>
      <c r="L193" s="68">
        <v>107910</v>
      </c>
      <c r="M193" s="68">
        <v>0</v>
      </c>
      <c r="N193" s="67">
        <v>20</v>
      </c>
      <c r="O193" s="116"/>
      <c r="P193" s="72">
        <v>23202.3</v>
      </c>
      <c r="Q193" s="68" t="s">
        <v>43</v>
      </c>
      <c r="R193" s="93">
        <f>83.3+887.8+119053.6-1198.4-31170.5-1472.9-98891.9+3069.1</f>
        <v>-9639.89999999997</v>
      </c>
      <c r="S193" s="67">
        <f t="shared" si="23"/>
        <v>507304.99999999994</v>
      </c>
      <c r="T193" s="67">
        <v>1436509.0333333332</v>
      </c>
      <c r="U193" s="67">
        <f t="shared" si="24"/>
        <v>2.8316476938593813</v>
      </c>
    </row>
    <row r="194" spans="1:21" s="75" customFormat="1" ht="15.75" hidden="1">
      <c r="A194" s="102" t="s">
        <v>209</v>
      </c>
      <c r="B194" s="67">
        <v>297683.1</v>
      </c>
      <c r="C194" s="67">
        <v>156387.7</v>
      </c>
      <c r="D194" s="67">
        <v>9305.3</v>
      </c>
      <c r="E194" s="67">
        <v>2490.4</v>
      </c>
      <c r="F194" s="67">
        <v>25793.7</v>
      </c>
      <c r="G194" s="67">
        <v>6.3</v>
      </c>
      <c r="H194" s="69">
        <v>31699.3</v>
      </c>
      <c r="I194" s="67">
        <f t="shared" si="22"/>
        <v>523365.79999999993</v>
      </c>
      <c r="J194" s="76">
        <f>197530+1198.4-332752.2</f>
        <v>-134023.80000000002</v>
      </c>
      <c r="K194" s="67">
        <f>713443.5-204319.9</f>
        <v>509123.6</v>
      </c>
      <c r="L194" s="68">
        <v>123150</v>
      </c>
      <c r="M194" s="68">
        <v>0</v>
      </c>
      <c r="N194" s="67">
        <v>20</v>
      </c>
      <c r="O194" s="116"/>
      <c r="P194" s="72">
        <v>23325.1</v>
      </c>
      <c r="Q194" s="68" t="s">
        <v>43</v>
      </c>
      <c r="R194" s="93">
        <f>83.3+887.8+134316.4-1198.4-32252.8-1485.3-101946.2+3366.1</f>
        <v>1770.9000000000028</v>
      </c>
      <c r="S194" s="67">
        <f t="shared" si="23"/>
        <v>523365.79999999993</v>
      </c>
      <c r="T194" s="67">
        <v>1428077.7500000002</v>
      </c>
      <c r="U194" s="67">
        <f t="shared" si="24"/>
        <v>2.728641707196</v>
      </c>
    </row>
    <row r="195" spans="1:21" s="75" customFormat="1" ht="15.75" hidden="1">
      <c r="A195" s="102" t="s">
        <v>212</v>
      </c>
      <c r="B195" s="67">
        <v>289035.9</v>
      </c>
      <c r="C195" s="67">
        <v>161445.5</v>
      </c>
      <c r="D195" s="67">
        <v>8725.3</v>
      </c>
      <c r="E195" s="67">
        <v>1731.9</v>
      </c>
      <c r="F195" s="67">
        <v>19832.3</v>
      </c>
      <c r="G195" s="67">
        <v>0.7</v>
      </c>
      <c r="H195" s="69">
        <v>33748.3</v>
      </c>
      <c r="I195" s="67">
        <f t="shared" si="22"/>
        <v>514519.9</v>
      </c>
      <c r="J195" s="76">
        <f>211323.9+1198.4-338942.8</f>
        <v>-126420.5</v>
      </c>
      <c r="K195" s="67">
        <f>741876.6-229249.5</f>
        <v>512627.1</v>
      </c>
      <c r="L195" s="68">
        <v>118810</v>
      </c>
      <c r="M195" s="68">
        <v>0</v>
      </c>
      <c r="N195" s="67">
        <v>20</v>
      </c>
      <c r="O195" s="116"/>
      <c r="P195" s="72">
        <v>22927.7</v>
      </c>
      <c r="Q195" s="68" t="s">
        <v>43</v>
      </c>
      <c r="R195" s="93">
        <f>83.3+887.8+115155.9-1198.4-16128.3-1513.9-112551+1820.2</f>
        <v>-13444.39999999999</v>
      </c>
      <c r="S195" s="67">
        <f t="shared" si="23"/>
        <v>514519.9</v>
      </c>
      <c r="T195" s="67">
        <v>1448987.7999999998</v>
      </c>
      <c r="U195" s="67">
        <f t="shared" si="24"/>
        <v>2.8161938925977394</v>
      </c>
    </row>
    <row r="196" spans="1:21" s="75" customFormat="1" ht="15.75" hidden="1">
      <c r="A196" s="102" t="s">
        <v>217</v>
      </c>
      <c r="B196" s="67">
        <v>290455.6</v>
      </c>
      <c r="C196" s="67">
        <v>161605.9</v>
      </c>
      <c r="D196" s="74">
        <v>9104.8</v>
      </c>
      <c r="E196" s="74">
        <v>2342.7</v>
      </c>
      <c r="F196" s="67">
        <v>20719.8</v>
      </c>
      <c r="G196" s="67">
        <v>15.7</v>
      </c>
      <c r="H196" s="69">
        <f>30565.1+1580.2</f>
        <v>32145.3</v>
      </c>
      <c r="I196" s="67">
        <f t="shared" si="22"/>
        <v>516389.79999999993</v>
      </c>
      <c r="J196" s="76">
        <f>190122.7+1198.4-336478.4</f>
        <v>-145157.30000000002</v>
      </c>
      <c r="K196" s="67">
        <f>747014-242717.8</f>
        <v>504296.2</v>
      </c>
      <c r="L196" s="68">
        <v>134100</v>
      </c>
      <c r="M196" s="68">
        <v>0</v>
      </c>
      <c r="N196" s="67">
        <v>20</v>
      </c>
      <c r="O196" s="116"/>
      <c r="P196" s="72">
        <v>22863.1</v>
      </c>
      <c r="Q196" s="68" t="s">
        <v>43</v>
      </c>
      <c r="R196" s="93">
        <f>887.8+83.3+130086.6-1198.4-15512-1663.4+3812.7-116228.8</f>
        <v>267.80000000001746</v>
      </c>
      <c r="S196" s="67">
        <f t="shared" si="23"/>
        <v>516389.80000000005</v>
      </c>
      <c r="T196" s="67">
        <v>1465561.4000000001</v>
      </c>
      <c r="U196" s="67">
        <f t="shared" si="24"/>
        <v>2.838091302345632</v>
      </c>
    </row>
    <row r="197" spans="1:21" s="75" customFormat="1" ht="15.75" hidden="1">
      <c r="A197" s="102" t="s">
        <v>220</v>
      </c>
      <c r="B197" s="74">
        <v>308146.3</v>
      </c>
      <c r="C197" s="127">
        <v>221165.7</v>
      </c>
      <c r="D197" s="74">
        <v>2688.4</v>
      </c>
      <c r="E197" s="74">
        <v>2169.6</v>
      </c>
      <c r="F197" s="74">
        <v>18092.1</v>
      </c>
      <c r="G197" s="67">
        <v>20</v>
      </c>
      <c r="H197" s="126">
        <v>28588.8</v>
      </c>
      <c r="I197" s="67">
        <f t="shared" si="22"/>
        <v>580870.9</v>
      </c>
      <c r="J197" s="76">
        <v>-144480.39999999997</v>
      </c>
      <c r="K197" s="67">
        <v>528460.3999999999</v>
      </c>
      <c r="L197" s="68">
        <v>159990</v>
      </c>
      <c r="M197" s="68">
        <v>0</v>
      </c>
      <c r="N197" s="67">
        <v>20</v>
      </c>
      <c r="O197" s="116"/>
      <c r="P197" s="72">
        <v>22686.1</v>
      </c>
      <c r="Q197" s="68" t="s">
        <v>43</v>
      </c>
      <c r="R197" s="93">
        <v>14194.800000000032</v>
      </c>
      <c r="S197" s="67">
        <f t="shared" si="23"/>
        <v>580870.8999999999</v>
      </c>
      <c r="T197" s="67">
        <v>1499512.9000000001</v>
      </c>
      <c r="U197" s="67">
        <f t="shared" si="24"/>
        <v>2.581490826963444</v>
      </c>
    </row>
    <row r="198" spans="1:21" s="75" customFormat="1" ht="15.75">
      <c r="A198" s="102"/>
      <c r="B198" s="74"/>
      <c r="C198" s="127"/>
      <c r="D198" s="74"/>
      <c r="E198" s="74"/>
      <c r="F198" s="74"/>
      <c r="G198" s="67"/>
      <c r="H198" s="126"/>
      <c r="I198" s="67"/>
      <c r="J198" s="76"/>
      <c r="K198" s="67"/>
      <c r="L198" s="68"/>
      <c r="M198" s="68"/>
      <c r="N198" s="67"/>
      <c r="O198" s="116"/>
      <c r="P198" s="72"/>
      <c r="Q198" s="68"/>
      <c r="R198" s="93"/>
      <c r="S198" s="67"/>
      <c r="T198" s="67"/>
      <c r="U198" s="67"/>
    </row>
    <row r="199" spans="1:21" s="75" customFormat="1" ht="15.75" hidden="1">
      <c r="A199" s="102" t="s">
        <v>185</v>
      </c>
      <c r="B199" s="74">
        <v>293218</v>
      </c>
      <c r="C199" s="127">
        <v>203592.7</v>
      </c>
      <c r="D199" s="74">
        <v>9511.6</v>
      </c>
      <c r="E199" s="74">
        <v>1738.8</v>
      </c>
      <c r="F199" s="74">
        <v>21108.4</v>
      </c>
      <c r="G199" s="67">
        <v>10.4</v>
      </c>
      <c r="H199" s="126">
        <v>31212.600000000002</v>
      </c>
      <c r="I199" s="67">
        <f t="shared" si="22"/>
        <v>560392.5</v>
      </c>
      <c r="J199" s="76">
        <v>-165010.8</v>
      </c>
      <c r="K199" s="67">
        <v>495587.20000000007</v>
      </c>
      <c r="L199" s="68">
        <v>174680</v>
      </c>
      <c r="M199" s="68">
        <v>0</v>
      </c>
      <c r="N199" s="67">
        <v>20</v>
      </c>
      <c r="O199" s="116"/>
      <c r="P199" s="72">
        <v>23114.8</v>
      </c>
      <c r="Q199" s="68" t="s">
        <v>43</v>
      </c>
      <c r="R199" s="93">
        <v>32001.300000000014</v>
      </c>
      <c r="S199" s="67">
        <f t="shared" si="23"/>
        <v>560392.5</v>
      </c>
      <c r="T199" s="67">
        <v>1518403.9</v>
      </c>
      <c r="U199" s="67">
        <f t="shared" si="24"/>
        <v>2.709536440976637</v>
      </c>
    </row>
    <row r="200" spans="1:21" s="75" customFormat="1" ht="15.75">
      <c r="A200" s="102" t="s">
        <v>223</v>
      </c>
      <c r="B200" s="74">
        <v>298489.9</v>
      </c>
      <c r="C200" s="127">
        <v>188388</v>
      </c>
      <c r="D200" s="74">
        <v>9623.2</v>
      </c>
      <c r="E200" s="74">
        <v>3051.2</v>
      </c>
      <c r="F200" s="74">
        <v>12736.900000000001</v>
      </c>
      <c r="G200" s="67">
        <v>16.2</v>
      </c>
      <c r="H200" s="126">
        <v>32674.300000000003</v>
      </c>
      <c r="I200" s="67">
        <f t="shared" si="22"/>
        <v>544979.7</v>
      </c>
      <c r="J200" s="76">
        <v>-136231.60000000003</v>
      </c>
      <c r="K200" s="67">
        <v>492009.6000000001</v>
      </c>
      <c r="L200" s="68">
        <v>172670</v>
      </c>
      <c r="M200" s="68">
        <v>0</v>
      </c>
      <c r="N200" s="67">
        <v>20</v>
      </c>
      <c r="O200" s="116"/>
      <c r="P200" s="72">
        <v>22883.600000000002</v>
      </c>
      <c r="Q200" s="68" t="s">
        <v>43</v>
      </c>
      <c r="R200" s="93">
        <v>-6371.899999999994</v>
      </c>
      <c r="S200" s="67">
        <f t="shared" si="23"/>
        <v>544979.7</v>
      </c>
      <c r="T200" s="67">
        <v>1551244.4</v>
      </c>
      <c r="U200" s="67">
        <f t="shared" si="24"/>
        <v>2.8464260228408507</v>
      </c>
    </row>
    <row r="201" spans="1:21" s="75" customFormat="1" ht="15.75">
      <c r="A201" s="102" t="s">
        <v>160</v>
      </c>
      <c r="B201" s="74">
        <v>302042.8</v>
      </c>
      <c r="C201" s="127">
        <v>151882.30000000002</v>
      </c>
      <c r="D201" s="74">
        <v>12465.900000000001</v>
      </c>
      <c r="E201" s="74">
        <v>1222.4</v>
      </c>
      <c r="F201" s="74">
        <v>18559.899999999998</v>
      </c>
      <c r="G201" s="67">
        <v>19.3</v>
      </c>
      <c r="H201" s="126">
        <v>32478.600000000002</v>
      </c>
      <c r="I201" s="67">
        <f t="shared" si="22"/>
        <v>518671.2</v>
      </c>
      <c r="J201" s="76">
        <v>-180109.99999999997</v>
      </c>
      <c r="K201" s="67">
        <v>483446</v>
      </c>
      <c r="L201" s="68">
        <v>185103.2</v>
      </c>
      <c r="M201" s="68">
        <v>0</v>
      </c>
      <c r="N201" s="67">
        <v>20</v>
      </c>
      <c r="O201" s="116"/>
      <c r="P201" s="72">
        <v>23078.2</v>
      </c>
      <c r="Q201" s="68" t="s">
        <v>43</v>
      </c>
      <c r="R201" s="93">
        <v>7133.799999999977</v>
      </c>
      <c r="S201" s="67">
        <f t="shared" si="23"/>
        <v>518671.19999999995</v>
      </c>
      <c r="T201" s="67">
        <v>1576438.5</v>
      </c>
      <c r="U201" s="67">
        <f t="shared" si="24"/>
        <v>3.0393792830602506</v>
      </c>
    </row>
    <row r="202" spans="1:21" s="75" customFormat="1" ht="15.75">
      <c r="A202" s="102" t="s">
        <v>161</v>
      </c>
      <c r="B202" s="74">
        <v>300253.3</v>
      </c>
      <c r="C202" s="127">
        <v>200369.1</v>
      </c>
      <c r="D202" s="74">
        <v>11112.6</v>
      </c>
      <c r="E202" s="74">
        <v>1233.5000000000002</v>
      </c>
      <c r="F202" s="74">
        <v>14744.399999999998</v>
      </c>
      <c r="G202" s="67">
        <v>10.7</v>
      </c>
      <c r="H202" s="126">
        <v>34299.9</v>
      </c>
      <c r="I202" s="67">
        <f t="shared" si="22"/>
        <v>562023.4999999999</v>
      </c>
      <c r="J202" s="76">
        <v>-152351.8</v>
      </c>
      <c r="K202" s="67">
        <v>440070.4000000001</v>
      </c>
      <c r="L202" s="68">
        <v>242832.2</v>
      </c>
      <c r="M202" s="68">
        <v>0</v>
      </c>
      <c r="N202" s="67">
        <v>20</v>
      </c>
      <c r="O202" s="116"/>
      <c r="P202" s="72">
        <v>23228.6</v>
      </c>
      <c r="Q202" s="68" t="s">
        <v>43</v>
      </c>
      <c r="R202" s="93">
        <v>8224.099999999977</v>
      </c>
      <c r="S202" s="67">
        <f t="shared" si="23"/>
        <v>562023.5</v>
      </c>
      <c r="T202" s="67">
        <v>1573210</v>
      </c>
      <c r="U202" s="67">
        <f t="shared" si="24"/>
        <v>2.7991890018833736</v>
      </c>
    </row>
    <row r="203" spans="1:21" s="75" customFormat="1" ht="15.75">
      <c r="A203" s="102" t="s">
        <v>162</v>
      </c>
      <c r="B203" s="74">
        <v>305467.7</v>
      </c>
      <c r="C203" s="127">
        <v>185292.6</v>
      </c>
      <c r="D203" s="74">
        <v>4427.900000000001</v>
      </c>
      <c r="E203" s="74">
        <v>2034.9</v>
      </c>
      <c r="F203" s="74">
        <v>12533.9</v>
      </c>
      <c r="G203" s="67">
        <v>24.9</v>
      </c>
      <c r="H203" s="126">
        <v>29000.7</v>
      </c>
      <c r="I203" s="67">
        <f t="shared" si="22"/>
        <v>538782.6000000001</v>
      </c>
      <c r="J203" s="76">
        <v>-171824.40000000002</v>
      </c>
      <c r="K203" s="67">
        <v>437008.49999999994</v>
      </c>
      <c r="L203" s="68">
        <v>240220</v>
      </c>
      <c r="M203" s="68">
        <v>0</v>
      </c>
      <c r="N203" s="67">
        <v>20</v>
      </c>
      <c r="O203" s="116"/>
      <c r="P203" s="72">
        <v>23706.800000000003</v>
      </c>
      <c r="Q203" s="68" t="s">
        <v>43</v>
      </c>
      <c r="R203" s="93">
        <v>9651.7</v>
      </c>
      <c r="S203" s="67">
        <f t="shared" si="23"/>
        <v>538782.6</v>
      </c>
      <c r="T203" s="67">
        <v>1587421.3000000005</v>
      </c>
      <c r="U203" s="67">
        <f t="shared" si="24"/>
        <v>2.9463113693723595</v>
      </c>
    </row>
    <row r="204" spans="1:21" s="75" customFormat="1" ht="15.75">
      <c r="A204" s="102" t="s">
        <v>186</v>
      </c>
      <c r="B204" s="74">
        <v>334282.7</v>
      </c>
      <c r="C204" s="127">
        <v>161888.4</v>
      </c>
      <c r="D204" s="74">
        <v>3460.1000000000004</v>
      </c>
      <c r="E204" s="74">
        <v>1303.3</v>
      </c>
      <c r="F204" s="74">
        <v>18483.5</v>
      </c>
      <c r="G204" s="67">
        <v>27.6</v>
      </c>
      <c r="H204" s="126">
        <v>29101.3</v>
      </c>
      <c r="I204" s="67">
        <f t="shared" si="22"/>
        <v>548546.8999999999</v>
      </c>
      <c r="J204" s="76">
        <v>-175279.1</v>
      </c>
      <c r="K204" s="67">
        <v>408472.6</v>
      </c>
      <c r="L204" s="68">
        <v>283075.3</v>
      </c>
      <c r="M204" s="68">
        <v>0</v>
      </c>
      <c r="N204" s="67">
        <v>20</v>
      </c>
      <c r="O204" s="116"/>
      <c r="P204" s="72">
        <v>23885.4</v>
      </c>
      <c r="Q204" s="68" t="s">
        <v>43</v>
      </c>
      <c r="R204" s="93">
        <v>8372.700000000052</v>
      </c>
      <c r="S204" s="67">
        <f t="shared" si="23"/>
        <v>548546.9</v>
      </c>
      <c r="T204" s="67">
        <v>1620461.3000000003</v>
      </c>
      <c r="U204" s="67">
        <f t="shared" si="24"/>
        <v>2.954097999642329</v>
      </c>
    </row>
    <row r="205" spans="1:21" s="75" customFormat="1" ht="15.75">
      <c r="A205" s="102" t="s">
        <v>187</v>
      </c>
      <c r="B205" s="74">
        <v>333488.6</v>
      </c>
      <c r="C205" s="127">
        <v>188607</v>
      </c>
      <c r="D205" s="74">
        <v>3510.5</v>
      </c>
      <c r="E205" s="74">
        <v>1366.2</v>
      </c>
      <c r="F205" s="74">
        <v>14317</v>
      </c>
      <c r="G205" s="67">
        <v>11.1</v>
      </c>
      <c r="H205" s="126">
        <v>36138.3</v>
      </c>
      <c r="I205" s="67">
        <f t="shared" si="22"/>
        <v>577438.7</v>
      </c>
      <c r="J205" s="76">
        <v>-174985.09999999998</v>
      </c>
      <c r="K205" s="67">
        <v>418299.7</v>
      </c>
      <c r="L205" s="68">
        <v>290770</v>
      </c>
      <c r="M205" s="68">
        <v>0</v>
      </c>
      <c r="N205" s="67">
        <v>20</v>
      </c>
      <c r="O205" s="116"/>
      <c r="P205" s="72">
        <v>23975</v>
      </c>
      <c r="Q205" s="68" t="s">
        <v>43</v>
      </c>
      <c r="R205" s="93">
        <v>19359.100000000053</v>
      </c>
      <c r="S205" s="67">
        <f t="shared" si="23"/>
        <v>577438.7000000001</v>
      </c>
      <c r="T205" s="67">
        <v>1652078.5000000002</v>
      </c>
      <c r="U205" s="67">
        <f t="shared" si="24"/>
        <v>2.861045683290712</v>
      </c>
    </row>
    <row r="206" spans="1:21" s="75" customFormat="1" ht="15.75">
      <c r="A206" s="102" t="s">
        <v>188</v>
      </c>
      <c r="B206" s="74">
        <v>336041.8</v>
      </c>
      <c r="C206" s="127">
        <v>194598</v>
      </c>
      <c r="D206" s="74">
        <v>10607.6</v>
      </c>
      <c r="E206" s="74">
        <v>2039.8</v>
      </c>
      <c r="F206" s="74">
        <v>17513.1</v>
      </c>
      <c r="G206" s="67">
        <v>15.4</v>
      </c>
      <c r="H206" s="126">
        <v>36540.700000000004</v>
      </c>
      <c r="I206" s="67">
        <f t="shared" si="22"/>
        <v>597356.4</v>
      </c>
      <c r="J206" s="76">
        <v>-171826.4</v>
      </c>
      <c r="K206" s="67">
        <v>399286.8</v>
      </c>
      <c r="L206" s="68">
        <v>310580</v>
      </c>
      <c r="M206" s="68">
        <v>0</v>
      </c>
      <c r="N206" s="67">
        <v>20</v>
      </c>
      <c r="O206" s="116"/>
      <c r="P206" s="72">
        <v>23895.5</v>
      </c>
      <c r="Q206" s="68" t="s">
        <v>43</v>
      </c>
      <c r="R206" s="93">
        <v>35400.499999999985</v>
      </c>
      <c r="S206" s="67">
        <f t="shared" si="23"/>
        <v>597356.4</v>
      </c>
      <c r="T206" s="67">
        <v>1696857.6</v>
      </c>
      <c r="U206" s="67">
        <f t="shared" si="24"/>
        <v>2.840611735305757</v>
      </c>
    </row>
    <row r="207" spans="1:21" s="75" customFormat="1" ht="15.75">
      <c r="A207" s="102" t="s">
        <v>189</v>
      </c>
      <c r="B207" s="74">
        <v>320520.4</v>
      </c>
      <c r="C207" s="127">
        <v>172865.5</v>
      </c>
      <c r="D207" s="74">
        <v>3240.1000000000004</v>
      </c>
      <c r="E207" s="74">
        <v>3001.7</v>
      </c>
      <c r="F207" s="74">
        <v>13529.7</v>
      </c>
      <c r="G207" s="67">
        <v>9</v>
      </c>
      <c r="H207" s="126">
        <v>38548.9</v>
      </c>
      <c r="I207" s="67">
        <f t="shared" si="22"/>
        <v>551715.2999999999</v>
      </c>
      <c r="J207" s="76">
        <v>-185086.7</v>
      </c>
      <c r="K207" s="67">
        <v>394238</v>
      </c>
      <c r="L207" s="68">
        <v>282430</v>
      </c>
      <c r="M207" s="68">
        <v>0</v>
      </c>
      <c r="N207" s="67">
        <v>20</v>
      </c>
      <c r="O207" s="116"/>
      <c r="P207" s="72">
        <v>24794.000000000004</v>
      </c>
      <c r="Q207" s="68" t="s">
        <v>43</v>
      </c>
      <c r="R207" s="93">
        <v>35320</v>
      </c>
      <c r="S207" s="67">
        <f t="shared" si="23"/>
        <v>551715.3</v>
      </c>
      <c r="T207" s="67">
        <v>1688923.0999999999</v>
      </c>
      <c r="U207" s="67">
        <f t="shared" si="24"/>
        <v>3.061222155702407</v>
      </c>
    </row>
    <row r="208" spans="1:21" s="75" customFormat="1" ht="15.75">
      <c r="A208" s="102" t="s">
        <v>190</v>
      </c>
      <c r="B208" s="74">
        <v>324820.2</v>
      </c>
      <c r="C208" s="127">
        <v>181787.3</v>
      </c>
      <c r="D208" s="74">
        <v>13842.9</v>
      </c>
      <c r="E208" s="74">
        <v>4248.400000000001</v>
      </c>
      <c r="F208" s="74">
        <v>15457.400000000001</v>
      </c>
      <c r="G208" s="67">
        <v>12.8</v>
      </c>
      <c r="H208" s="126">
        <v>29539.699999999997</v>
      </c>
      <c r="I208" s="67">
        <f t="shared" si="22"/>
        <v>569708.7000000001</v>
      </c>
      <c r="J208" s="76">
        <v>-167112.20000000004</v>
      </c>
      <c r="K208" s="67">
        <v>396852.5999999999</v>
      </c>
      <c r="L208" s="68">
        <v>292050</v>
      </c>
      <c r="M208" s="68">
        <v>0</v>
      </c>
      <c r="N208" s="67">
        <v>20</v>
      </c>
      <c r="O208" s="116"/>
      <c r="P208" s="72">
        <v>24642.200000000004</v>
      </c>
      <c r="Q208" s="68" t="s">
        <v>43</v>
      </c>
      <c r="R208" s="93">
        <v>23256.100000000006</v>
      </c>
      <c r="S208" s="67">
        <f t="shared" si="23"/>
        <v>569708.6999999998</v>
      </c>
      <c r="T208" s="67">
        <v>1738754.2999999998</v>
      </c>
      <c r="U208" s="67">
        <f t="shared" si="24"/>
        <v>3.0520058759853934</v>
      </c>
    </row>
    <row r="209" spans="1:21" s="75" customFormat="1" ht="15.75">
      <c r="A209" s="102" t="s">
        <v>191</v>
      </c>
      <c r="B209" s="74">
        <v>318296.9</v>
      </c>
      <c r="C209" s="127">
        <v>157822.2</v>
      </c>
      <c r="D209" s="74">
        <v>10485.7</v>
      </c>
      <c r="E209" s="74">
        <v>2768.6</v>
      </c>
      <c r="F209" s="74">
        <v>12225.800000000001</v>
      </c>
      <c r="G209" s="67">
        <v>4.7</v>
      </c>
      <c r="H209" s="126">
        <v>33594.4</v>
      </c>
      <c r="I209" s="67">
        <f t="shared" si="22"/>
        <v>535198.2999999999</v>
      </c>
      <c r="J209" s="76">
        <v>-156463.60000000003</v>
      </c>
      <c r="K209" s="67">
        <v>420989.8</v>
      </c>
      <c r="L209" s="68">
        <v>235400</v>
      </c>
      <c r="M209" s="68">
        <v>0</v>
      </c>
      <c r="N209" s="67">
        <v>20</v>
      </c>
      <c r="O209" s="116"/>
      <c r="P209" s="72">
        <v>24363.4</v>
      </c>
      <c r="Q209" s="68" t="s">
        <v>43</v>
      </c>
      <c r="R209" s="93">
        <v>10888.700000000004</v>
      </c>
      <c r="S209" s="67">
        <f t="shared" si="23"/>
        <v>535198.2999999998</v>
      </c>
      <c r="T209" s="67">
        <v>1756673.7</v>
      </c>
      <c r="U209" s="67">
        <f t="shared" si="24"/>
        <v>3.282285650010473</v>
      </c>
    </row>
    <row r="210" spans="1:21" s="75" customFormat="1" ht="15.75">
      <c r="A210" s="102" t="s">
        <v>192</v>
      </c>
      <c r="B210" s="74">
        <v>350207.6</v>
      </c>
      <c r="C210" s="127">
        <v>166378.19999999998</v>
      </c>
      <c r="D210" s="74">
        <v>4497.5</v>
      </c>
      <c r="E210" s="74">
        <v>3538.7999999999997</v>
      </c>
      <c r="F210" s="74">
        <v>9097.099999999999</v>
      </c>
      <c r="G210" s="67">
        <v>17.8</v>
      </c>
      <c r="H210" s="126">
        <v>31091.8</v>
      </c>
      <c r="I210" s="67">
        <f t="shared" si="22"/>
        <v>564828.8</v>
      </c>
      <c r="J210" s="76">
        <v>-165217.1</v>
      </c>
      <c r="K210" s="67">
        <v>441299.1</v>
      </c>
      <c r="L210" s="68">
        <v>248180</v>
      </c>
      <c r="M210" s="68">
        <v>0</v>
      </c>
      <c r="N210" s="67">
        <v>20</v>
      </c>
      <c r="O210" s="116"/>
      <c r="P210" s="72">
        <v>24119.000000000004</v>
      </c>
      <c r="Q210" s="68" t="s">
        <v>43</v>
      </c>
      <c r="R210" s="93">
        <v>16427.800000000032</v>
      </c>
      <c r="S210" s="67">
        <f t="shared" si="23"/>
        <v>564828.8</v>
      </c>
      <c r="T210" s="67">
        <v>1797468.9000000001</v>
      </c>
      <c r="U210" s="67">
        <f t="shared" si="24"/>
        <v>3.182325157640687</v>
      </c>
    </row>
    <row r="211" spans="1:21" s="75" customFormat="1" ht="15.75">
      <c r="A211" s="102"/>
      <c r="B211" s="74"/>
      <c r="C211" s="127"/>
      <c r="D211" s="74"/>
      <c r="E211" s="74"/>
      <c r="F211" s="74"/>
      <c r="G211" s="67"/>
      <c r="H211" s="126"/>
      <c r="I211" s="67"/>
      <c r="J211" s="76"/>
      <c r="K211" s="67"/>
      <c r="L211" s="68"/>
      <c r="M211" s="68"/>
      <c r="N211" s="67"/>
      <c r="O211" s="116"/>
      <c r="P211" s="72"/>
      <c r="Q211" s="68"/>
      <c r="R211" s="93"/>
      <c r="S211" s="67"/>
      <c r="T211" s="67"/>
      <c r="U211" s="67"/>
    </row>
    <row r="212" spans="1:21" s="75" customFormat="1" ht="15.75">
      <c r="A212" s="102" t="s">
        <v>213</v>
      </c>
      <c r="B212" s="74">
        <v>325405.6</v>
      </c>
      <c r="C212" s="127">
        <v>144516.9</v>
      </c>
      <c r="D212" s="74">
        <v>4960.2</v>
      </c>
      <c r="E212" s="74">
        <v>3554.2</v>
      </c>
      <c r="F212" s="74">
        <v>6911.1</v>
      </c>
      <c r="G212" s="67">
        <v>5.8</v>
      </c>
      <c r="H212" s="126">
        <v>33325.7</v>
      </c>
      <c r="I212" s="67">
        <f aca="true" t="shared" si="25" ref="I212:I217">H212+F212+E212+C212+B212+G212+D212</f>
        <v>518679.5</v>
      </c>
      <c r="J212" s="76">
        <v>-182568.59999999998</v>
      </c>
      <c r="K212" s="67">
        <v>378404</v>
      </c>
      <c r="L212" s="68">
        <v>262187.4</v>
      </c>
      <c r="M212" s="68">
        <v>0</v>
      </c>
      <c r="N212" s="67">
        <v>20</v>
      </c>
      <c r="O212" s="116"/>
      <c r="P212" s="72">
        <v>24303.4</v>
      </c>
      <c r="Q212" s="68" t="s">
        <v>43</v>
      </c>
      <c r="R212" s="93">
        <v>36333.30000000002</v>
      </c>
      <c r="S212" s="67">
        <f aca="true" t="shared" si="26" ref="S212:S226">R212+Q212+P212+N212+M212+L212+K212+J212+O212</f>
        <v>518679.5000000001</v>
      </c>
      <c r="T212" s="67">
        <v>1834210.9</v>
      </c>
      <c r="U212" s="67">
        <f aca="true" t="shared" si="27" ref="U212:U222">T212/I212</f>
        <v>3.5363088381167946</v>
      </c>
    </row>
    <row r="213" spans="1:21" s="75" customFormat="1" ht="15.75">
      <c r="A213" s="102" t="s">
        <v>182</v>
      </c>
      <c r="B213" s="74">
        <v>333463.4</v>
      </c>
      <c r="C213" s="127">
        <v>192665</v>
      </c>
      <c r="D213" s="74">
        <v>8047.7</v>
      </c>
      <c r="E213" s="74">
        <v>1932.3999999999999</v>
      </c>
      <c r="F213" s="74">
        <v>11183.800000000001</v>
      </c>
      <c r="G213" s="67">
        <v>7.7</v>
      </c>
      <c r="H213" s="126">
        <v>38737.1</v>
      </c>
      <c r="I213" s="67">
        <f t="shared" si="25"/>
        <v>586037.0999999999</v>
      </c>
      <c r="J213" s="76">
        <v>-148014.80000000002</v>
      </c>
      <c r="K213" s="67">
        <v>398819.8</v>
      </c>
      <c r="L213" s="68">
        <v>267170</v>
      </c>
      <c r="M213" s="68">
        <v>0</v>
      </c>
      <c r="N213" s="67">
        <v>20</v>
      </c>
      <c r="O213" s="116"/>
      <c r="P213" s="72">
        <v>24135.600000000002</v>
      </c>
      <c r="Q213" s="68" t="s">
        <v>43</v>
      </c>
      <c r="R213" s="93">
        <v>43906.50000000006</v>
      </c>
      <c r="S213" s="67">
        <f t="shared" si="26"/>
        <v>586037.1000000001</v>
      </c>
      <c r="T213" s="67">
        <v>1856716.4000000001</v>
      </c>
      <c r="U213" s="67">
        <f t="shared" si="27"/>
        <v>3.168257436261289</v>
      </c>
    </row>
    <row r="214" spans="1:21" s="75" customFormat="1" ht="15.75">
      <c r="A214" s="102" t="s">
        <v>184</v>
      </c>
      <c r="B214" s="74">
        <v>329231.6</v>
      </c>
      <c r="C214" s="127">
        <v>207823.9</v>
      </c>
      <c r="D214" s="74">
        <v>17499.7</v>
      </c>
      <c r="E214" s="74">
        <v>1904.8</v>
      </c>
      <c r="F214" s="74">
        <v>12489.6</v>
      </c>
      <c r="G214" s="67">
        <v>62.3</v>
      </c>
      <c r="H214" s="126">
        <f>2626.8+35338.9</f>
        <v>37965.700000000004</v>
      </c>
      <c r="I214" s="67">
        <f t="shared" si="25"/>
        <v>606977.6</v>
      </c>
      <c r="J214" s="76">
        <f>130884.5-298865.3+1198.4</f>
        <v>-166782.4</v>
      </c>
      <c r="K214" s="67">
        <f>776260.3-358269.2</f>
        <v>417991.10000000003</v>
      </c>
      <c r="L214" s="68">
        <v>287000</v>
      </c>
      <c r="M214" s="68">
        <v>0</v>
      </c>
      <c r="N214" s="67">
        <v>20</v>
      </c>
      <c r="O214" s="116"/>
      <c r="P214" s="72">
        <v>23853.8</v>
      </c>
      <c r="Q214" s="68" t="s">
        <v>43</v>
      </c>
      <c r="R214" s="93">
        <f>157.9+887.8+200172.4-1198.4-34809.4-1728.6-126372.4+7785.8</f>
        <v>44895.10000000002</v>
      </c>
      <c r="S214" s="67">
        <f t="shared" si="26"/>
        <v>606977.6</v>
      </c>
      <c r="T214" s="67">
        <v>1879093.9</v>
      </c>
      <c r="U214" s="67">
        <f t="shared" si="27"/>
        <v>3.095820834244954</v>
      </c>
    </row>
    <row r="215" spans="1:21" s="75" customFormat="1" ht="15.75">
      <c r="A215" s="102" t="s">
        <v>196</v>
      </c>
      <c r="B215" s="74">
        <v>334917.5</v>
      </c>
      <c r="C215" s="127">
        <v>210707.7</v>
      </c>
      <c r="D215" s="74">
        <v>6395.6</v>
      </c>
      <c r="E215" s="74">
        <v>1385.2</v>
      </c>
      <c r="F215" s="74">
        <v>9897.6</v>
      </c>
      <c r="G215" s="67">
        <v>18.3</v>
      </c>
      <c r="H215" s="126">
        <f>1946.4+30494.7</f>
        <v>32441.100000000002</v>
      </c>
      <c r="I215" s="67">
        <f t="shared" si="25"/>
        <v>595763</v>
      </c>
      <c r="J215" s="76">
        <f>138599.7-298492+21.5</f>
        <v>-159870.8</v>
      </c>
      <c r="K215" s="67">
        <f>749554.5-367204.6</f>
        <v>382349.9</v>
      </c>
      <c r="L215" s="68">
        <v>295000</v>
      </c>
      <c r="M215" s="68">
        <v>0</v>
      </c>
      <c r="N215" s="67">
        <v>20</v>
      </c>
      <c r="O215" s="116"/>
      <c r="P215" s="72">
        <v>23743.1</v>
      </c>
      <c r="Q215" s="68" t="s">
        <v>43</v>
      </c>
      <c r="R215" s="93">
        <f>157.9+887.8+188612.9-21.5-38792.1-1917.5-125881.4+31474.7</f>
        <v>54520.8</v>
      </c>
      <c r="S215" s="67">
        <f t="shared" si="26"/>
        <v>595763</v>
      </c>
      <c r="T215" s="67">
        <v>1894882</v>
      </c>
      <c r="U215" s="67">
        <f t="shared" si="27"/>
        <v>3.1805969823570783</v>
      </c>
    </row>
    <row r="216" spans="1:21" s="75" customFormat="1" ht="15.75">
      <c r="A216" s="102" t="s">
        <v>197</v>
      </c>
      <c r="B216" s="74">
        <v>364833</v>
      </c>
      <c r="C216" s="127">
        <v>171541.6</v>
      </c>
      <c r="D216" s="74">
        <v>12518.3</v>
      </c>
      <c r="E216" s="74">
        <v>2077.9</v>
      </c>
      <c r="F216" s="74">
        <v>11138.6</v>
      </c>
      <c r="G216" s="67">
        <v>9.2</v>
      </c>
      <c r="H216" s="126">
        <f>2132.3+29888.3</f>
        <v>32020.6</v>
      </c>
      <c r="I216" s="67">
        <f t="shared" si="25"/>
        <v>594139.2</v>
      </c>
      <c r="J216" s="76">
        <f>179122.8+9230.6-322255.6</f>
        <v>-133902.19999999998</v>
      </c>
      <c r="K216" s="67">
        <f>741946.8-409694.1</f>
        <v>332252.70000000007</v>
      </c>
      <c r="L216" s="68">
        <v>320000</v>
      </c>
      <c r="M216" s="68">
        <v>0</v>
      </c>
      <c r="N216" s="67">
        <v>20</v>
      </c>
      <c r="O216" s="116"/>
      <c r="P216" s="72">
        <v>23666.1</v>
      </c>
      <c r="Q216" s="68" t="s">
        <v>43</v>
      </c>
      <c r="R216" s="93">
        <f>157.9+887.8+203802.7-9230.6-35398.6-2013.7-133914+27811.1</f>
        <v>52102.6</v>
      </c>
      <c r="S216" s="67">
        <f t="shared" si="26"/>
        <v>594139.2000000002</v>
      </c>
      <c r="T216" s="67">
        <v>1954585.4</v>
      </c>
      <c r="U216" s="67">
        <f t="shared" si="27"/>
        <v>3.289776873836973</v>
      </c>
    </row>
    <row r="217" spans="1:21" s="75" customFormat="1" ht="15.75">
      <c r="A217" s="102" t="s">
        <v>201</v>
      </c>
      <c r="B217" s="74">
        <v>383003.4</v>
      </c>
      <c r="C217" s="127">
        <v>217133.9</v>
      </c>
      <c r="D217" s="74">
        <v>8594.1</v>
      </c>
      <c r="E217" s="74">
        <v>3359.1</v>
      </c>
      <c r="F217" s="74">
        <v>8879.6</v>
      </c>
      <c r="G217" s="67">
        <v>27.9</v>
      </c>
      <c r="H217" s="126">
        <f>2131.1+34831.4</f>
        <v>36962.5</v>
      </c>
      <c r="I217" s="67">
        <f t="shared" si="25"/>
        <v>657960.5</v>
      </c>
      <c r="J217" s="76">
        <f>170121.6+7031.5-298866.2</f>
        <v>-121713.1</v>
      </c>
      <c r="K217" s="67">
        <f>762094-384896.3</f>
        <v>377197.7</v>
      </c>
      <c r="L217" s="68">
        <v>335077.8</v>
      </c>
      <c r="M217" s="68">
        <v>0</v>
      </c>
      <c r="N217" s="67">
        <v>20</v>
      </c>
      <c r="O217" s="116"/>
      <c r="P217" s="72">
        <v>23502.4</v>
      </c>
      <c r="Q217" s="68" t="s">
        <v>43</v>
      </c>
      <c r="R217" s="93">
        <f>157.9+887.8+181402.6-7031.5-38420.7-3955.7-140899.6+51734.9</f>
        <v>43875.70000000002</v>
      </c>
      <c r="S217" s="67">
        <f t="shared" si="26"/>
        <v>657960.5000000001</v>
      </c>
      <c r="T217" s="67">
        <v>2027007</v>
      </c>
      <c r="U217" s="67">
        <f t="shared" si="27"/>
        <v>3.0807426889608114</v>
      </c>
    </row>
    <row r="218" spans="1:21" s="75" customFormat="1" ht="15.75">
      <c r="A218" s="102" t="s">
        <v>200</v>
      </c>
      <c r="B218" s="74">
        <v>385750.3</v>
      </c>
      <c r="C218" s="127">
        <v>188125.9</v>
      </c>
      <c r="D218" s="74">
        <v>13794.1</v>
      </c>
      <c r="E218" s="74">
        <v>4702.4</v>
      </c>
      <c r="F218" s="74">
        <v>10772.3</v>
      </c>
      <c r="G218" s="67">
        <v>13.3</v>
      </c>
      <c r="H218" s="126">
        <v>37615.799999999996</v>
      </c>
      <c r="I218" s="67">
        <f aca="true" t="shared" si="28" ref="I218:I226">H218+F218+E218+C218+B218+G218+D218</f>
        <v>640774.1</v>
      </c>
      <c r="J218" s="76">
        <v>-133765.9</v>
      </c>
      <c r="K218" s="67">
        <f>702399.9-373260.6</f>
        <v>329139.30000000005</v>
      </c>
      <c r="L218" s="68">
        <v>349550</v>
      </c>
      <c r="M218" s="68">
        <v>0</v>
      </c>
      <c r="N218" s="67">
        <v>20</v>
      </c>
      <c r="O218" s="116"/>
      <c r="P218" s="72">
        <v>24115.9</v>
      </c>
      <c r="Q218" s="68" t="s">
        <v>43</v>
      </c>
      <c r="R218" s="93">
        <f>157.9+887.8+198464.8-7031.5-34291.8-1905.5-139394.3+54827.4</f>
        <v>71714.80000000002</v>
      </c>
      <c r="S218" s="67">
        <f t="shared" si="26"/>
        <v>640774.1</v>
      </c>
      <c r="T218" s="67">
        <v>2044001.4333333333</v>
      </c>
      <c r="U218" s="67">
        <f t="shared" si="27"/>
        <v>3.189893963150716</v>
      </c>
    </row>
    <row r="219" spans="1:21" s="75" customFormat="1" ht="15.75">
      <c r="A219" s="102" t="s">
        <v>207</v>
      </c>
      <c r="B219" s="74">
        <v>383858.4</v>
      </c>
      <c r="C219" s="127">
        <v>185993</v>
      </c>
      <c r="D219" s="74">
        <v>6053.599999999999</v>
      </c>
      <c r="E219" s="74">
        <v>2716.1</v>
      </c>
      <c r="F219" s="74">
        <v>10733.5</v>
      </c>
      <c r="G219" s="67">
        <v>11.7</v>
      </c>
      <c r="H219" s="126">
        <f>1785.7+33416.8</f>
        <v>35202.5</v>
      </c>
      <c r="I219" s="67">
        <f t="shared" si="28"/>
        <v>624568.7999999999</v>
      </c>
      <c r="J219" s="76">
        <f>136933.3+7031.5-295856.6</f>
        <v>-151891.8</v>
      </c>
      <c r="K219" s="67">
        <f>759491.5-460553.5</f>
        <v>298938</v>
      </c>
      <c r="L219" s="68">
        <v>347667.4</v>
      </c>
      <c r="M219" s="68">
        <v>0</v>
      </c>
      <c r="N219" s="67">
        <v>20</v>
      </c>
      <c r="O219" s="116"/>
      <c r="P219" s="72">
        <v>23879.3</v>
      </c>
      <c r="Q219" s="68" t="s">
        <v>43</v>
      </c>
      <c r="R219" s="93">
        <f>157.9+887.8+235411-7031.5-29774.4-1868.3-139315.9+47489.3</f>
        <v>105955.90000000004</v>
      </c>
      <c r="S219" s="67">
        <f t="shared" si="26"/>
        <v>624568.8</v>
      </c>
      <c r="T219" s="67">
        <v>2073880.0666666667</v>
      </c>
      <c r="U219" s="67">
        <f t="shared" si="27"/>
        <v>3.3204989853266236</v>
      </c>
    </row>
    <row r="220" spans="1:21" s="75" customFormat="1" ht="15.75">
      <c r="A220" s="102" t="s">
        <v>214</v>
      </c>
      <c r="B220" s="74">
        <v>373777.4</v>
      </c>
      <c r="C220" s="127">
        <v>200245.8</v>
      </c>
      <c r="D220" s="74">
        <v>13233.099999999999</v>
      </c>
      <c r="E220" s="74">
        <v>3326.6</v>
      </c>
      <c r="F220" s="74">
        <v>12715.200000000003</v>
      </c>
      <c r="G220" s="67">
        <v>1.4</v>
      </c>
      <c r="H220" s="126">
        <f>2563.7+38573.2</f>
        <v>41136.899999999994</v>
      </c>
      <c r="I220" s="67">
        <f t="shared" si="28"/>
        <v>644436.4</v>
      </c>
      <c r="J220" s="76">
        <f>145197.8+7031.5-295964.1</f>
        <v>-143734.8</v>
      </c>
      <c r="K220" s="67">
        <f>756889.1-465555.2</f>
        <v>291333.89999999997</v>
      </c>
      <c r="L220" s="68">
        <v>399460.9</v>
      </c>
      <c r="M220" s="68">
        <v>0</v>
      </c>
      <c r="N220" s="67">
        <v>20</v>
      </c>
      <c r="O220" s="116"/>
      <c r="P220" s="72">
        <v>24409.9</v>
      </c>
      <c r="Q220" s="68" t="s">
        <v>43</v>
      </c>
      <c r="R220" s="93">
        <f>157.9+887.8+210464.2-7031.5-29487.1-1894.5-146196.7+46046.4</f>
        <v>72946.5</v>
      </c>
      <c r="S220" s="67">
        <f t="shared" si="26"/>
        <v>644436.3999999999</v>
      </c>
      <c r="T220" s="67">
        <v>2073557</v>
      </c>
      <c r="U220" s="67">
        <f t="shared" si="27"/>
        <v>3.217628613157171</v>
      </c>
    </row>
    <row r="221" spans="1:21" s="75" customFormat="1" ht="15.75">
      <c r="A221" s="102" t="s">
        <v>215</v>
      </c>
      <c r="B221" s="74">
        <v>380035.6</v>
      </c>
      <c r="C221" s="127">
        <v>154206.6</v>
      </c>
      <c r="D221" s="74">
        <v>21572.2</v>
      </c>
      <c r="E221" s="74">
        <v>4186.6</v>
      </c>
      <c r="F221" s="74">
        <v>13451.7</v>
      </c>
      <c r="G221" s="67">
        <v>1.8</v>
      </c>
      <c r="H221" s="126">
        <f>1909.6+37713</f>
        <v>39622.6</v>
      </c>
      <c r="I221" s="67">
        <f t="shared" si="28"/>
        <v>613077.1</v>
      </c>
      <c r="J221" s="76">
        <f>133444.6+5935-293793.8</f>
        <v>-154414.19999999998</v>
      </c>
      <c r="K221" s="67">
        <f>751684.2-499593.6</f>
        <v>252090.59999999998</v>
      </c>
      <c r="L221" s="68">
        <v>407267.4</v>
      </c>
      <c r="M221" s="68">
        <v>0</v>
      </c>
      <c r="N221" s="67">
        <v>20</v>
      </c>
      <c r="O221" s="116"/>
      <c r="P221" s="72">
        <v>24842.7</v>
      </c>
      <c r="Q221" s="68" t="s">
        <v>43</v>
      </c>
      <c r="R221" s="93">
        <f>157.9+887.8+190694.5-5935-25297.1-2098.7-133864.6+58725.8</f>
        <v>83270.59999999999</v>
      </c>
      <c r="S221" s="67">
        <f t="shared" si="26"/>
        <v>613077.1000000001</v>
      </c>
      <c r="T221" s="67">
        <v>2077957.8</v>
      </c>
      <c r="U221" s="67">
        <f t="shared" si="27"/>
        <v>3.389390665545981</v>
      </c>
    </row>
    <row r="222" spans="1:21" s="75" customFormat="1" ht="15.75">
      <c r="A222" s="102" t="s">
        <v>216</v>
      </c>
      <c r="B222" s="74">
        <v>382648.3</v>
      </c>
      <c r="C222" s="127">
        <v>171379.8</v>
      </c>
      <c r="D222" s="74">
        <v>15201.2</v>
      </c>
      <c r="E222" s="74">
        <v>2826.1</v>
      </c>
      <c r="F222" s="74">
        <v>12715.3</v>
      </c>
      <c r="G222" s="67">
        <v>2.5</v>
      </c>
      <c r="H222" s="126">
        <f>2438+44646.8</f>
        <v>47084.8</v>
      </c>
      <c r="I222" s="67">
        <f t="shared" si="28"/>
        <v>631858</v>
      </c>
      <c r="J222" s="76">
        <f>120957.2+5935-290211.4</f>
        <v>-163319.2</v>
      </c>
      <c r="K222" s="67">
        <f>749081.8-478720.8</f>
        <v>270361.00000000006</v>
      </c>
      <c r="L222" s="68">
        <v>406550</v>
      </c>
      <c r="M222" s="68">
        <v>0</v>
      </c>
      <c r="N222" s="67">
        <v>20</v>
      </c>
      <c r="O222" s="116"/>
      <c r="P222" s="72">
        <v>24881.100000000002</v>
      </c>
      <c r="Q222" s="68" t="s">
        <v>43</v>
      </c>
      <c r="R222" s="93">
        <f>157.9+887.8+197156.8-5935-25043.6-2061.7-128369.8+56572.7</f>
        <v>93365.09999999998</v>
      </c>
      <c r="S222" s="67">
        <f t="shared" si="26"/>
        <v>631858</v>
      </c>
      <c r="T222" s="67">
        <v>2109167.6</v>
      </c>
      <c r="U222" s="67">
        <f t="shared" si="27"/>
        <v>3.3380405091017287</v>
      </c>
    </row>
    <row r="223" spans="1:21" s="75" customFormat="1" ht="17.25" customHeight="1">
      <c r="A223" s="102" t="s">
        <v>218</v>
      </c>
      <c r="B223" s="74">
        <v>414814.9</v>
      </c>
      <c r="C223" s="127">
        <v>208123.19999999998</v>
      </c>
      <c r="D223" s="74">
        <v>22962.1</v>
      </c>
      <c r="E223" s="74">
        <v>4340</v>
      </c>
      <c r="F223" s="74">
        <v>5405</v>
      </c>
      <c r="G223" s="67">
        <v>1.2</v>
      </c>
      <c r="H223" s="126">
        <f>40326.4+2178.8</f>
        <v>42505.200000000004</v>
      </c>
      <c r="I223" s="67">
        <f t="shared" si="28"/>
        <v>698151.6</v>
      </c>
      <c r="J223" s="76">
        <f>235831.3+5935-371157</f>
        <v>-129390.70000000001</v>
      </c>
      <c r="K223" s="67">
        <f>746479.4-421651.4</f>
        <v>324828</v>
      </c>
      <c r="L223" s="68">
        <v>422379.9</v>
      </c>
      <c r="M223" s="68">
        <v>0</v>
      </c>
      <c r="N223" s="67">
        <v>20</v>
      </c>
      <c r="O223" s="116"/>
      <c r="P223" s="72">
        <v>24491.3</v>
      </c>
      <c r="Q223" s="68" t="s">
        <v>43</v>
      </c>
      <c r="R223" s="93">
        <f>199796.9+157.9+887.8-5935-59688.3-3847.6-132146.2+56597.6</f>
        <v>55823.09999999997</v>
      </c>
      <c r="S223" s="67">
        <f t="shared" si="26"/>
        <v>698151.6000000001</v>
      </c>
      <c r="T223" s="67">
        <v>2202774</v>
      </c>
      <c r="U223" s="67">
        <f>T223/I223</f>
        <v>3.155151402646646</v>
      </c>
    </row>
    <row r="224" spans="1:21" s="75" customFormat="1" ht="17.25" customHeight="1">
      <c r="A224" s="102"/>
      <c r="B224" s="74"/>
      <c r="C224" s="127"/>
      <c r="D224" s="74"/>
      <c r="E224" s="74"/>
      <c r="F224" s="74"/>
      <c r="G224" s="67"/>
      <c r="H224" s="126"/>
      <c r="I224" s="67"/>
      <c r="J224" s="76"/>
      <c r="K224" s="67"/>
      <c r="L224" s="68"/>
      <c r="M224" s="68"/>
      <c r="N224" s="67"/>
      <c r="O224" s="116"/>
      <c r="P224" s="72"/>
      <c r="Q224" s="68"/>
      <c r="R224" s="93"/>
      <c r="S224" s="67"/>
      <c r="T224" s="67"/>
      <c r="U224" s="67"/>
    </row>
    <row r="225" spans="1:21" s="75" customFormat="1" ht="17.25" customHeight="1">
      <c r="A225" s="102" t="s">
        <v>221</v>
      </c>
      <c r="B225" s="74">
        <v>390526.4</v>
      </c>
      <c r="C225" s="127">
        <v>192629.6</v>
      </c>
      <c r="D225" s="74">
        <v>21152.7</v>
      </c>
      <c r="E225" s="74">
        <v>4730.5</v>
      </c>
      <c r="F225" s="74">
        <v>12861.9</v>
      </c>
      <c r="G225" s="67">
        <v>2.6</v>
      </c>
      <c r="H225" s="126">
        <f>3395.7+40023</f>
        <v>43418.7</v>
      </c>
      <c r="I225" s="67">
        <f t="shared" si="28"/>
        <v>665322.4</v>
      </c>
      <c r="J225" s="76">
        <f>188875.3+5935-368291.2</f>
        <v>-173480.90000000002</v>
      </c>
      <c r="K225" s="67">
        <f>746479.3-449268.9</f>
        <v>297210.4</v>
      </c>
      <c r="L225" s="68">
        <v>454094.2</v>
      </c>
      <c r="M225" s="68">
        <v>0</v>
      </c>
      <c r="N225" s="67">
        <v>20</v>
      </c>
      <c r="O225" s="116"/>
      <c r="P225" s="72">
        <v>25396.3</v>
      </c>
      <c r="Q225" s="68" t="s">
        <v>43</v>
      </c>
      <c r="R225" s="93">
        <f>195369.4+157.9-5935-57649.5-2547.2-127243.6+59042.6</f>
        <v>61194.599999999984</v>
      </c>
      <c r="S225" s="67">
        <f t="shared" si="26"/>
        <v>664434.6</v>
      </c>
      <c r="T225" s="67">
        <v>2193556.4</v>
      </c>
      <c r="U225" s="67">
        <f>T225/I225</f>
        <v>3.2969826357868004</v>
      </c>
    </row>
    <row r="226" spans="1:21" s="75" customFormat="1" ht="17.25" customHeight="1">
      <c r="A226" s="102" t="s">
        <v>222</v>
      </c>
      <c r="B226" s="74">
        <v>389144.7</v>
      </c>
      <c r="C226" s="127">
        <v>241583.1</v>
      </c>
      <c r="D226" s="74">
        <v>21949.6</v>
      </c>
      <c r="E226" s="74">
        <v>5289.900000000001</v>
      </c>
      <c r="F226" s="74">
        <v>14116.3</v>
      </c>
      <c r="G226" s="67">
        <v>9.1</v>
      </c>
      <c r="H226" s="126">
        <f>4892.1+39639.3</f>
        <v>44531.4</v>
      </c>
      <c r="I226" s="67">
        <f t="shared" si="28"/>
        <v>716624.1</v>
      </c>
      <c r="J226" s="76">
        <f>225960.4+5935-363145.9</f>
        <v>-131250.50000000003</v>
      </c>
      <c r="K226" s="67">
        <f>743876.9-457283.3</f>
        <v>286593.60000000003</v>
      </c>
      <c r="L226" s="68">
        <v>466455.89999999997</v>
      </c>
      <c r="M226" s="68">
        <v>0</v>
      </c>
      <c r="N226" s="67">
        <v>20</v>
      </c>
      <c r="O226" s="116"/>
      <c r="P226" s="72">
        <v>25276.000000000004</v>
      </c>
      <c r="Q226" s="68" t="s">
        <v>43</v>
      </c>
      <c r="R226" s="93">
        <f>207489.5+157.9-5935-58145.6-2403.6-128297+55775.1</f>
        <v>68641.29999999999</v>
      </c>
      <c r="S226" s="67">
        <f t="shared" si="26"/>
        <v>715736.3</v>
      </c>
      <c r="T226" s="67">
        <v>2227649.4000000004</v>
      </c>
      <c r="U226" s="67">
        <f>T226/I226</f>
        <v>3.1085326323800726</v>
      </c>
    </row>
    <row r="227" spans="1:21" s="75" customFormat="1" ht="18" customHeight="1">
      <c r="A227" s="80"/>
      <c r="B227" s="81"/>
      <c r="C227" s="81"/>
      <c r="D227" s="81"/>
      <c r="E227" s="81"/>
      <c r="F227" s="81"/>
      <c r="G227" s="81"/>
      <c r="H227" s="82"/>
      <c r="I227" s="81"/>
      <c r="J227" s="83"/>
      <c r="K227" s="67"/>
      <c r="L227" s="81"/>
      <c r="M227" s="81"/>
      <c r="N227" s="81"/>
      <c r="O227" s="84"/>
      <c r="P227" s="81"/>
      <c r="Q227" s="83"/>
      <c r="R227" s="83"/>
      <c r="S227" s="81"/>
      <c r="T227" s="81"/>
      <c r="U227" s="81"/>
    </row>
    <row r="228" spans="1:21" ht="15.75">
      <c r="A228" s="103"/>
      <c r="B228" s="104"/>
      <c r="C228" s="104"/>
      <c r="D228" s="104"/>
      <c r="E228" s="104"/>
      <c r="F228" s="104"/>
      <c r="G228" s="104"/>
      <c r="H228" s="104"/>
      <c r="I228" s="104"/>
      <c r="J228" s="105"/>
      <c r="K228" s="104"/>
      <c r="L228" s="104"/>
      <c r="M228" s="104"/>
      <c r="N228" s="104"/>
      <c r="O228" s="106"/>
      <c r="P228" s="104"/>
      <c r="Q228" s="107"/>
      <c r="R228" s="104"/>
      <c r="S228" s="104"/>
      <c r="T228" s="104"/>
      <c r="U228" s="108"/>
    </row>
    <row r="229" spans="1:21" s="75" customFormat="1" ht="15.75">
      <c r="A229" s="121" t="s">
        <v>151</v>
      </c>
      <c r="B229" s="109"/>
      <c r="C229" s="109"/>
      <c r="D229" s="109"/>
      <c r="E229" s="109"/>
      <c r="F229" s="109"/>
      <c r="G229" s="109"/>
      <c r="H229" s="109"/>
      <c r="I229" s="109"/>
      <c r="J229" s="110"/>
      <c r="K229" s="109"/>
      <c r="L229" s="109"/>
      <c r="M229" s="109"/>
      <c r="N229" s="109"/>
      <c r="O229" s="111"/>
      <c r="P229" s="109"/>
      <c r="Q229" s="112"/>
      <c r="R229" s="113"/>
      <c r="S229" s="114"/>
      <c r="T229" s="109"/>
      <c r="U229" s="115"/>
    </row>
    <row r="230" spans="1:21" ht="15.75">
      <c r="A230" s="88"/>
      <c r="B230" s="89"/>
      <c r="C230" s="89"/>
      <c r="D230" s="89"/>
      <c r="E230" s="89"/>
      <c r="F230" s="89"/>
      <c r="G230" s="89"/>
      <c r="H230" s="89"/>
      <c r="I230" s="89"/>
      <c r="J230" s="90"/>
      <c r="K230" s="89"/>
      <c r="L230" s="89"/>
      <c r="M230" s="89"/>
      <c r="N230" s="89"/>
      <c r="O230" s="91"/>
      <c r="P230" s="89"/>
      <c r="Q230" s="92"/>
      <c r="R230" s="89"/>
      <c r="S230" s="94"/>
      <c r="T230" s="89"/>
      <c r="U230" s="89"/>
    </row>
    <row r="231" spans="1:21" ht="15.75">
      <c r="A231" s="75"/>
      <c r="B231" s="32"/>
      <c r="C231" s="32"/>
      <c r="D231" s="32"/>
      <c r="E231" s="32"/>
      <c r="F231" s="32"/>
      <c r="G231" s="32"/>
      <c r="H231" s="32"/>
      <c r="I231" s="32"/>
      <c r="J231" s="95"/>
      <c r="K231" s="32"/>
      <c r="L231" s="32"/>
      <c r="M231" s="32"/>
      <c r="N231" s="32"/>
      <c r="O231" s="96"/>
      <c r="P231" s="32"/>
      <c r="Q231" s="97"/>
      <c r="R231" s="32"/>
      <c r="S231" s="94"/>
      <c r="T231" s="89"/>
      <c r="U231" s="32"/>
    </row>
    <row r="232" spans="1:21" ht="15.75">
      <c r="A232" s="75"/>
      <c r="B232" s="32"/>
      <c r="C232" s="32"/>
      <c r="D232" s="32"/>
      <c r="E232" s="32"/>
      <c r="F232" s="32"/>
      <c r="G232" s="32"/>
      <c r="H232" s="32"/>
      <c r="I232" s="32"/>
      <c r="J232" s="93"/>
      <c r="K232" s="98"/>
      <c r="L232" s="32"/>
      <c r="M232" s="32"/>
      <c r="N232" s="32"/>
      <c r="O232" s="96"/>
      <c r="P232" s="32"/>
      <c r="Q232" s="97"/>
      <c r="R232" s="93"/>
      <c r="S232" s="94"/>
      <c r="T232" s="89"/>
      <c r="U232" s="32"/>
    </row>
    <row r="233" spans="19:20" ht="15.75">
      <c r="S233" s="94"/>
      <c r="T233" s="89"/>
    </row>
    <row r="234" spans="19:20" ht="15.75">
      <c r="S234" s="94"/>
      <c r="T234" s="89"/>
    </row>
    <row r="235" spans="19:20" ht="15.75">
      <c r="S235" s="94"/>
      <c r="T235" s="89"/>
    </row>
    <row r="236" spans="10:20" ht="15.75">
      <c r="J236" s="93"/>
      <c r="S236" s="94"/>
      <c r="T236" s="89"/>
    </row>
    <row r="237" spans="19:20" ht="15.75">
      <c r="S237" s="94"/>
      <c r="T237" s="89"/>
    </row>
    <row r="238" spans="2:21" ht="15.75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94"/>
      <c r="T238" s="89"/>
      <c r="U238" s="7"/>
    </row>
    <row r="239" spans="2:21" ht="15.75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T239" s="89"/>
      <c r="U239" s="7"/>
    </row>
    <row r="240" spans="2:21" ht="15.75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T240" s="89"/>
      <c r="U240" s="7"/>
    </row>
    <row r="241" spans="2:21" ht="15.7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T241" s="89"/>
      <c r="U241" s="7"/>
    </row>
    <row r="242" spans="2:21" ht="15.7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T242" s="89"/>
      <c r="U242" s="7"/>
    </row>
    <row r="243" spans="2:21" ht="15.7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T243" s="89"/>
      <c r="U243" s="7"/>
    </row>
  </sheetData>
  <sheetProtection/>
  <mergeCells count="1">
    <mergeCell ref="A3:U3"/>
  </mergeCells>
  <printOptions horizontalCentered="1" verticalCentered="1"/>
  <pageMargins left="0.5118110236220472" right="0.5118110236220472" top="0.5118110236220472" bottom="0.5511811023622047" header="0.5118110236220472" footer="0.5118110236220472"/>
  <pageSetup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Yvette NDACAYISABA</cp:lastModifiedBy>
  <cp:lastPrinted>2017-07-11T06:11:34Z</cp:lastPrinted>
  <dcterms:created xsi:type="dcterms:W3CDTF">2000-09-13T06:05:15Z</dcterms:created>
  <dcterms:modified xsi:type="dcterms:W3CDTF">2020-05-05T14:17:38Z</dcterms:modified>
  <cp:category/>
  <cp:version/>
  <cp:contentType/>
  <cp:contentStatus/>
</cp:coreProperties>
</file>