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\Monnaie-crédit en Anglais FEBRUARY 2022\"/>
    </mc:Choice>
  </mc:AlternateContent>
  <bookViews>
    <workbookView xWindow="0" yWindow="0" windowWidth="12090" windowHeight="7860" activeTab="3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23" i="3" l="1"/>
  <c r="M124" i="3"/>
  <c r="M125" i="3"/>
  <c r="M119" i="3"/>
  <c r="M120" i="3"/>
  <c r="M121" i="3"/>
  <c r="M122" i="3"/>
  <c r="M115" i="3"/>
  <c r="M116" i="3"/>
  <c r="M117" i="3"/>
  <c r="M118" i="3"/>
  <c r="M114" i="3"/>
  <c r="K19" i="5" l="1"/>
  <c r="J19" i="5"/>
  <c r="F19" i="5"/>
  <c r="C19" i="5"/>
  <c r="L19" i="5" s="1"/>
  <c r="L58" i="4"/>
  <c r="K58" i="4"/>
  <c r="F58" i="4"/>
  <c r="C58" i="4"/>
  <c r="M58" i="4" s="1"/>
  <c r="L101" i="3"/>
  <c r="K101" i="3"/>
  <c r="F101" i="3"/>
  <c r="C101" i="3"/>
  <c r="L100" i="3"/>
  <c r="K100" i="3"/>
  <c r="F100" i="3"/>
  <c r="C100" i="3"/>
  <c r="L99" i="3"/>
  <c r="K99" i="3"/>
  <c r="F99" i="3"/>
  <c r="C99" i="3"/>
  <c r="M99" i="3" s="1"/>
  <c r="M101" i="3" l="1"/>
  <c r="M100" i="3"/>
  <c r="L57" i="4"/>
  <c r="K57" i="4"/>
  <c r="F57" i="4"/>
  <c r="C57" i="4"/>
  <c r="M57" i="4" s="1"/>
  <c r="L98" i="3"/>
  <c r="K98" i="3"/>
  <c r="F98" i="3"/>
  <c r="C98" i="3"/>
  <c r="M98" i="3" s="1"/>
  <c r="L97" i="3" l="1"/>
  <c r="K97" i="3"/>
  <c r="F97" i="3"/>
  <c r="C97" i="3"/>
  <c r="L96" i="3"/>
  <c r="K96" i="3"/>
  <c r="F96" i="3"/>
  <c r="C96" i="3"/>
  <c r="M96" i="3" s="1"/>
  <c r="M97" i="3" l="1"/>
  <c r="L56" i="4"/>
  <c r="K56" i="4"/>
  <c r="F56" i="4"/>
  <c r="C56" i="4"/>
  <c r="L95" i="3"/>
  <c r="K95" i="3"/>
  <c r="F95" i="3"/>
  <c r="C95" i="3"/>
  <c r="M95" i="3" s="1"/>
  <c r="M56" i="4" l="1"/>
  <c r="L94" i="3"/>
  <c r="K94" i="3"/>
  <c r="F94" i="3"/>
  <c r="C94" i="3"/>
  <c r="M94" i="3" l="1"/>
  <c r="L93" i="3"/>
  <c r="K93" i="3"/>
  <c r="F93" i="3"/>
  <c r="C93" i="3"/>
  <c r="M93" i="3" s="1"/>
  <c r="L55" i="4" l="1"/>
  <c r="K55" i="4"/>
  <c r="F55" i="4"/>
  <c r="C55" i="4"/>
  <c r="L92" i="3"/>
  <c r="K92" i="3"/>
  <c r="F92" i="3"/>
  <c r="C92" i="3"/>
  <c r="M92" i="3" s="1"/>
  <c r="M55" i="4" l="1"/>
  <c r="L91" i="3"/>
  <c r="K91" i="3"/>
  <c r="F91" i="3"/>
  <c r="C91" i="3"/>
  <c r="M91" i="3" l="1"/>
  <c r="L90" i="3"/>
  <c r="K90" i="3"/>
  <c r="F90" i="3"/>
  <c r="C90" i="3"/>
  <c r="M90" i="3" s="1"/>
  <c r="K18" i="5" l="1"/>
  <c r="J18" i="5"/>
  <c r="F18" i="5"/>
  <c r="C18" i="5"/>
  <c r="L54" i="4"/>
  <c r="K54" i="4"/>
  <c r="F54" i="4"/>
  <c r="C54" i="4"/>
  <c r="M54" i="4" s="1"/>
  <c r="L89" i="3"/>
  <c r="K89" i="3"/>
  <c r="F89" i="3"/>
  <c r="C89" i="3"/>
  <c r="M89" i="3" s="1"/>
  <c r="L18" i="5" l="1"/>
  <c r="L88" i="3"/>
  <c r="K88" i="3"/>
  <c r="F88" i="3"/>
  <c r="C88" i="3"/>
  <c r="M88" i="3" s="1"/>
  <c r="L87" i="3" l="1"/>
  <c r="K87" i="3"/>
  <c r="F87" i="3"/>
  <c r="C87" i="3"/>
  <c r="M87" i="3" l="1"/>
  <c r="L53" i="4"/>
  <c r="K53" i="4"/>
  <c r="F53" i="4"/>
  <c r="C53" i="4"/>
  <c r="L86" i="3"/>
  <c r="K86" i="3"/>
  <c r="F86" i="3"/>
  <c r="C86" i="3"/>
  <c r="M86" i="3" s="1"/>
  <c r="M53" i="4" l="1"/>
  <c r="L85" i="3"/>
  <c r="K85" i="3"/>
  <c r="F85" i="3"/>
  <c r="C85" i="3"/>
  <c r="M85" i="3" l="1"/>
  <c r="L84" i="3"/>
  <c r="K84" i="3"/>
  <c r="F84" i="3"/>
  <c r="C84" i="3"/>
  <c r="M84" i="3" s="1"/>
  <c r="L52" i="4" l="1"/>
  <c r="K52" i="4"/>
  <c r="F52" i="4"/>
  <c r="C52" i="4"/>
  <c r="L83" i="3"/>
  <c r="K83" i="3"/>
  <c r="F83" i="3"/>
  <c r="C83" i="3"/>
  <c r="L82" i="3"/>
  <c r="K82" i="3"/>
  <c r="F82" i="3"/>
  <c r="C82" i="3"/>
  <c r="M82" i="3" s="1"/>
  <c r="M52" i="4" l="1"/>
  <c r="M83" i="3"/>
  <c r="L81" i="3"/>
  <c r="K81" i="3"/>
  <c r="F81" i="3"/>
  <c r="D81" i="3"/>
  <c r="C81" i="3"/>
  <c r="M81" i="3" s="1"/>
  <c r="L17" i="5" l="1"/>
  <c r="M51" i="4"/>
  <c r="M50" i="4"/>
  <c r="M49" i="4"/>
  <c r="M48" i="4"/>
  <c r="E47" i="4"/>
  <c r="M47" i="4" s="1"/>
  <c r="M80" i="3"/>
  <c r="M79" i="3"/>
  <c r="M78" i="3"/>
  <c r="M77" i="3"/>
  <c r="M76" i="3"/>
  <c r="M75" i="3"/>
  <c r="M74" i="3"/>
  <c r="M73" i="3"/>
  <c r="M72" i="3"/>
  <c r="M71" i="3"/>
  <c r="M70" i="3"/>
  <c r="M69" i="3"/>
  <c r="E68" i="3"/>
  <c r="M68" i="3" s="1"/>
  <c r="E67" i="3"/>
  <c r="M67" i="3" s="1"/>
  <c r="E66" i="3"/>
  <c r="M66" i="3" s="1"/>
  <c r="L16" i="5" l="1"/>
  <c r="L15" i="5"/>
  <c r="L14" i="5"/>
  <c r="L13" i="5"/>
  <c r="L12" i="5"/>
  <c r="L11" i="5"/>
  <c r="L10" i="5"/>
  <c r="L9" i="5"/>
  <c r="L8" i="5"/>
  <c r="L7" i="5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I7" i="4"/>
  <c r="M7" i="4" s="1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<sst xmlns="http://schemas.openxmlformats.org/spreadsheetml/2006/main" count="438" uniqueCount="47">
  <si>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</si>
  <si>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</si>
  <si>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</si>
  <si>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</si>
  <si>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</si>
  <si>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</si>
  <si>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</si>
  <si>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</si>
  <si>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</si>
  <si>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</si>
  <si>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</si>
  <si>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</si>
  <si>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</si>
  <si>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</si>
  <si>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</si>
  <si>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</si>
  <si>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</si>
  <si>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</si>
  <si>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</si>
  <si>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</si>
  <si>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</si>
  <si>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</si>
  <si>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</si>
  <si>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</si>
  <si>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</si>
  <si>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</si>
  <si>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</si>
  <si>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</si>
  <si>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</si>
  <si>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</si>
  <si>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</si>
  <si>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</si>
  <si>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</si>
  <si>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</si>
  <si>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</si>
  <si>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</si>
  <si>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</si>
  <si>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</si>
  <si>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</si>
  <si>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</si>
  <si>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</si>
  <si>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Foreign assets</t>
  </si>
  <si>
    <t>Source: Compiled on data from other financial intermediaries(FPHU untill August 2021 et BNDE)</t>
  </si>
  <si>
    <t>Claims on non residents</t>
  </si>
  <si>
    <t>Claims on non Residents</t>
  </si>
  <si>
    <t>Q4-2022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</si>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</sst>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6" fontId="5" fillId="0" borderId="4" xfId="0" applyNumberFormat="1" applyFont="1" applyFill="1" applyBorder="1" applyAlignment="1" applyProtection="1">
      <alignment horizontal="right"/>
    </xf>
    <xf numFmtId="164" fontId="5" fillId="0" borderId="4" xfId="0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4" fontId="5" fillId="0" borderId="0" xfId="0" applyFont="1" applyFill="1"/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D1" workbookViewId="0">
      <selection activeCell="E19" sqref="E19"/>
    </sheetView>
  </sheetViews>
  <sheetFormatPr baseColWidth="10"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44958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45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46</v>
      </c>
    </row>
    <row r="16" spans="2:5" x14ac:dyDescent="0.25">
      <c r="B16" s="15" t="s">
        <v>18</v>
      </c>
      <c r="C16" s="22"/>
    </row>
    <row r="17" spans="2:3" x14ac:dyDescent="0.25">
      <c r="B17" s="15" t="s">
        <v>38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39</v>
      </c>
    </row>
    <row r="24" spans="2:3" x14ac:dyDescent="0.25">
      <c r="B24" s="54" t="s">
        <v>41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30"/>
  <sheetViews>
    <sheetView workbookViewId="0">
      <pane xSplit="1" ySplit="6" topLeftCell="I120" activePane="bottomRight" state="frozen"/>
      <selection pane="topRight" activeCell="B1" sqref="B1"/>
      <selection pane="bottomLeft" activeCell="A7" sqref="A7"/>
      <selection pane="bottomRight" activeCell="M128" sqref="M128"/>
    </sheetView>
  </sheetViews>
  <sheetFormatPr baseColWidth="10" defaultColWidth="11.5546875" defaultRowHeight="15.75" x14ac:dyDescent="0.25"/>
  <cols>
    <col min="1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8" width="16.44140625" style="27" customWidth="1"/>
    <col min="9" max="9" width="23.77734375" style="27" customWidth="1"/>
    <col min="10" max="10" width="18.88671875" style="27" customWidth="1"/>
    <col min="11" max="11" width="11.33203125" style="27" customWidth="1"/>
    <col min="12" max="12" width="15.5546875" style="27" bestFit="1" customWidth="1"/>
    <col min="13" max="13" width="15.88671875" style="27" customWidth="1"/>
    <col min="14" max="16384" width="11.5546875" style="27"/>
  </cols>
  <sheetData>
    <row r="1" spans="1:14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29"/>
      <c r="M1" s="42" t="s">
        <v>40</v>
      </c>
    </row>
    <row r="2" spans="1:14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32"/>
      <c r="M2" s="47"/>
      <c r="N2" s="48"/>
    </row>
    <row r="3" spans="1:14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36"/>
      <c r="M3" s="42"/>
      <c r="N3" s="48"/>
    </row>
    <row r="4" spans="1:14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9"/>
    </row>
    <row r="5" spans="1:14" s="45" customFormat="1" ht="18.75" x14ac:dyDescent="0.3">
      <c r="A5" s="43"/>
      <c r="B5" s="68"/>
      <c r="C5" s="44"/>
      <c r="D5" s="44"/>
      <c r="E5" s="44"/>
      <c r="F5" s="44"/>
      <c r="G5" s="44"/>
      <c r="H5" s="72"/>
      <c r="I5" s="44"/>
      <c r="J5" s="44"/>
      <c r="K5" s="44"/>
      <c r="L5" s="44"/>
      <c r="M5" s="44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43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/>
      <c r="I7" s="12">
        <v>696.1</v>
      </c>
      <c r="J7" s="12">
        <v>816.5</v>
      </c>
      <c r="K7" s="12">
        <v>59923.900000000009</v>
      </c>
      <c r="L7" s="13">
        <v>5930.7000000000007</v>
      </c>
      <c r="M7" s="12">
        <f t="shared" ref="M7:M65" si="0">SUM(B7:L7)</f>
        <v>71874.100000000006</v>
      </c>
    </row>
    <row r="8" spans="1:14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/>
      <c r="I8" s="12">
        <v>659.3</v>
      </c>
      <c r="J8" s="12">
        <v>804.49999999999989</v>
      </c>
      <c r="K8" s="12">
        <v>61556.200000000012</v>
      </c>
      <c r="L8" s="13">
        <v>5974.5</v>
      </c>
      <c r="M8" s="12">
        <f t="shared" si="0"/>
        <v>72972.600000000006</v>
      </c>
    </row>
    <row r="9" spans="1:14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/>
      <c r="I9" s="12">
        <v>889.6</v>
      </c>
      <c r="J9" s="12">
        <v>792.99999999999989</v>
      </c>
      <c r="K9" s="12">
        <v>62499.7</v>
      </c>
      <c r="L9" s="13">
        <v>6220.6</v>
      </c>
      <c r="M9" s="12">
        <f t="shared" si="0"/>
        <v>73496</v>
      </c>
    </row>
    <row r="10" spans="1:14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/>
      <c r="I10" s="12">
        <v>866.2</v>
      </c>
      <c r="J10" s="12">
        <v>780.99999999999989</v>
      </c>
      <c r="K10" s="12">
        <v>63391.9</v>
      </c>
      <c r="L10" s="13">
        <v>6340</v>
      </c>
      <c r="M10" s="12">
        <f t="shared" si="0"/>
        <v>74523.600000000006</v>
      </c>
    </row>
    <row r="11" spans="1:14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/>
      <c r="I11" s="12">
        <v>1041.2</v>
      </c>
      <c r="J11" s="12">
        <v>769.29999999999984</v>
      </c>
      <c r="K11" s="12">
        <v>63817.599999999999</v>
      </c>
      <c r="L11" s="13">
        <v>6176</v>
      </c>
      <c r="M11" s="12">
        <f t="shared" si="0"/>
        <v>75167.399999999994</v>
      </c>
    </row>
    <row r="12" spans="1:14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/>
      <c r="I12" s="12">
        <v>803.3</v>
      </c>
      <c r="J12" s="12">
        <v>606.09999999999991</v>
      </c>
      <c r="K12" s="12">
        <v>66088.400000000009</v>
      </c>
      <c r="L12" s="13">
        <v>6685.5999999999995</v>
      </c>
      <c r="M12" s="12">
        <f t="shared" si="0"/>
        <v>77035.700000000012</v>
      </c>
    </row>
    <row r="13" spans="1:14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/>
      <c r="I13" s="12">
        <v>829.2</v>
      </c>
      <c r="J13" s="12">
        <v>605.4</v>
      </c>
      <c r="K13" s="12">
        <v>67490.700000000012</v>
      </c>
      <c r="L13" s="13">
        <v>7354.7</v>
      </c>
      <c r="M13" s="12">
        <f t="shared" si="0"/>
        <v>77970.600000000006</v>
      </c>
    </row>
    <row r="14" spans="1:14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/>
      <c r="I14" s="12">
        <v>550.70000000000005</v>
      </c>
      <c r="J14" s="12">
        <v>605.4</v>
      </c>
      <c r="K14" s="12">
        <v>69742.100000000006</v>
      </c>
      <c r="L14" s="13">
        <v>6601.1</v>
      </c>
      <c r="M14" s="12">
        <f t="shared" si="0"/>
        <v>78715.600000000006</v>
      </c>
    </row>
    <row r="15" spans="1:14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/>
      <c r="I15" s="12">
        <v>698.4</v>
      </c>
      <c r="J15" s="12">
        <v>604.99999999999989</v>
      </c>
      <c r="K15" s="12">
        <v>71180.100000000006</v>
      </c>
      <c r="L15" s="13">
        <v>7066.9</v>
      </c>
      <c r="M15" s="12">
        <f t="shared" si="0"/>
        <v>81440.600000000006</v>
      </c>
    </row>
    <row r="16" spans="1:14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/>
      <c r="I16" s="12">
        <v>372.6</v>
      </c>
      <c r="J16" s="12">
        <v>604.99999999999989</v>
      </c>
      <c r="K16" s="12">
        <v>72581.100000000006</v>
      </c>
      <c r="L16" s="13">
        <v>7601.2999999999993</v>
      </c>
      <c r="M16" s="12">
        <f t="shared" si="0"/>
        <v>82377.3</v>
      </c>
    </row>
    <row r="17" spans="1:13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/>
      <c r="I17" s="12">
        <v>609.79999999999995</v>
      </c>
      <c r="J17" s="12">
        <v>604.59999999999991</v>
      </c>
      <c r="K17" s="12">
        <v>73439.199999999997</v>
      </c>
      <c r="L17" s="13">
        <v>6708.5</v>
      </c>
      <c r="M17" s="12">
        <f t="shared" si="0"/>
        <v>83108.599999999991</v>
      </c>
    </row>
    <row r="18" spans="1:13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/>
      <c r="I18" s="12">
        <v>433.2</v>
      </c>
      <c r="J18" s="11">
        <v>604.19999999999993</v>
      </c>
      <c r="K18" s="11">
        <v>74690.200000000012</v>
      </c>
      <c r="L18" s="13">
        <v>6804.6</v>
      </c>
      <c r="M18" s="12">
        <f t="shared" si="0"/>
        <v>83714.000000000015</v>
      </c>
    </row>
    <row r="19" spans="1:13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/>
      <c r="I19" s="12">
        <v>65.900000000000006</v>
      </c>
      <c r="J19" s="11">
        <v>603.79999999999995</v>
      </c>
      <c r="K19" s="11">
        <v>76361.8</v>
      </c>
      <c r="L19" s="13">
        <v>7146.8</v>
      </c>
      <c r="M19" s="12">
        <f t="shared" si="0"/>
        <v>85578.5</v>
      </c>
    </row>
    <row r="20" spans="1:13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/>
      <c r="I20" s="12">
        <v>461.5</v>
      </c>
      <c r="J20" s="11">
        <v>602.99999999999989</v>
      </c>
      <c r="K20" s="11">
        <v>75716.200000000012</v>
      </c>
      <c r="L20" s="13">
        <v>7587.5</v>
      </c>
      <c r="M20" s="12">
        <f t="shared" si="0"/>
        <v>85755.1</v>
      </c>
    </row>
    <row r="21" spans="1:13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/>
      <c r="I21" s="12">
        <v>382.1</v>
      </c>
      <c r="J21" s="11">
        <v>602.99999999999989</v>
      </c>
      <c r="K21" s="11">
        <v>76553.2</v>
      </c>
      <c r="L21" s="13">
        <v>7581.9000000000005</v>
      </c>
      <c r="M21" s="12">
        <f t="shared" si="0"/>
        <v>87701.2</v>
      </c>
    </row>
    <row r="22" spans="1:13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/>
      <c r="I22" s="12">
        <v>55.4</v>
      </c>
      <c r="J22" s="11">
        <v>602.19999999999993</v>
      </c>
      <c r="K22" s="11">
        <v>78787.899999999994</v>
      </c>
      <c r="L22" s="13">
        <v>7542.2000000000007</v>
      </c>
      <c r="M22" s="12">
        <f t="shared" si="0"/>
        <v>88829.599999999991</v>
      </c>
    </row>
    <row r="23" spans="1:13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/>
      <c r="I23" s="12">
        <v>444.8</v>
      </c>
      <c r="J23" s="11">
        <v>601.79999999999995</v>
      </c>
      <c r="K23" s="11">
        <v>79629.900000000009</v>
      </c>
      <c r="L23" s="13">
        <v>8264.6000000000022</v>
      </c>
      <c r="M23" s="12">
        <f t="shared" si="0"/>
        <v>91056.400000000009</v>
      </c>
    </row>
    <row r="24" spans="1:13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/>
      <c r="I24" s="12">
        <v>341</v>
      </c>
      <c r="J24" s="11">
        <v>601.79999999999995</v>
      </c>
      <c r="K24" s="11">
        <v>81857.3</v>
      </c>
      <c r="L24" s="13">
        <v>7603.8</v>
      </c>
      <c r="M24" s="12">
        <f t="shared" si="0"/>
        <v>92494</v>
      </c>
    </row>
    <row r="25" spans="1:13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/>
      <c r="I25" s="12">
        <v>384.4</v>
      </c>
      <c r="J25" s="11">
        <v>601.4</v>
      </c>
      <c r="K25" s="11">
        <v>83304.700000000012</v>
      </c>
      <c r="L25" s="13">
        <v>7674</v>
      </c>
      <c r="M25" s="12">
        <f t="shared" si="0"/>
        <v>94039.800000000017</v>
      </c>
    </row>
    <row r="26" spans="1:13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/>
      <c r="I26" s="12">
        <v>401.1</v>
      </c>
      <c r="J26" s="11">
        <v>600.9</v>
      </c>
      <c r="K26" s="11">
        <v>84091.8</v>
      </c>
      <c r="L26" s="13">
        <v>8356.5</v>
      </c>
      <c r="M26" s="12">
        <f t="shared" si="0"/>
        <v>95946.5</v>
      </c>
    </row>
    <row r="27" spans="1:13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/>
      <c r="I27" s="12">
        <v>383.1</v>
      </c>
      <c r="J27" s="11">
        <v>597.69999999999993</v>
      </c>
      <c r="K27" s="11">
        <v>85658.4</v>
      </c>
      <c r="L27" s="13">
        <v>7792.2</v>
      </c>
      <c r="M27" s="12">
        <f t="shared" si="0"/>
        <v>97667.499999999985</v>
      </c>
    </row>
    <row r="28" spans="1:13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/>
      <c r="I28" s="12" t="s">
        <v>0</v>
      </c>
      <c r="J28" s="11">
        <v>597.69999999999993</v>
      </c>
      <c r="K28" s="11">
        <v>86819.9</v>
      </c>
      <c r="L28" s="13">
        <v>9008.9</v>
      </c>
      <c r="M28" s="12">
        <f t="shared" si="0"/>
        <v>100003.4</v>
      </c>
    </row>
    <row r="29" spans="1:13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/>
      <c r="I29" s="12" t="s">
        <v>0</v>
      </c>
      <c r="J29" s="11">
        <v>597.69999999999993</v>
      </c>
      <c r="K29" s="11">
        <v>87468.6</v>
      </c>
      <c r="L29" s="13">
        <v>9064.2000000000007</v>
      </c>
      <c r="M29" s="12">
        <f t="shared" si="0"/>
        <v>101933</v>
      </c>
    </row>
    <row r="30" spans="1:13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/>
      <c r="I30" s="12" t="s">
        <v>0</v>
      </c>
      <c r="J30" s="11">
        <v>597.69999999999993</v>
      </c>
      <c r="K30" s="11">
        <v>88722.099999999991</v>
      </c>
      <c r="L30" s="13">
        <v>9347.9000000000015</v>
      </c>
      <c r="M30" s="12">
        <f t="shared" si="0"/>
        <v>102501</v>
      </c>
    </row>
    <row r="31" spans="1:13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/>
      <c r="I31" s="12" t="s">
        <v>0</v>
      </c>
      <c r="J31" s="11">
        <v>597.69999999999993</v>
      </c>
      <c r="K31" s="11">
        <v>87626.1</v>
      </c>
      <c r="L31" s="13">
        <v>9506.7000000000007</v>
      </c>
      <c r="M31" s="12">
        <f t="shared" si="0"/>
        <v>102109.5</v>
      </c>
    </row>
    <row r="32" spans="1:13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/>
      <c r="I32" s="12" t="s">
        <v>0</v>
      </c>
      <c r="J32" s="11">
        <v>597.69999999999993</v>
      </c>
      <c r="K32" s="11">
        <v>87282.8</v>
      </c>
      <c r="L32" s="13">
        <v>10418.700000000001</v>
      </c>
      <c r="M32" s="12">
        <f t="shared" si="0"/>
        <v>102888.9</v>
      </c>
    </row>
    <row r="33" spans="1:13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/>
      <c r="I33" s="12" t="s">
        <v>0</v>
      </c>
      <c r="J33" s="11">
        <v>597.69999999999993</v>
      </c>
      <c r="K33" s="11">
        <v>88061.7</v>
      </c>
      <c r="L33" s="13">
        <v>10481.299999999999</v>
      </c>
      <c r="M33" s="12">
        <f t="shared" si="0"/>
        <v>105678.7</v>
      </c>
    </row>
    <row r="34" spans="1:13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86891.700000000012</v>
      </c>
      <c r="L34" s="13">
        <v>10916.1</v>
      </c>
      <c r="M34" s="12">
        <f t="shared" si="0"/>
        <v>106521.10000000002</v>
      </c>
    </row>
    <row r="35" spans="1:13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86842</v>
      </c>
      <c r="L35" s="13">
        <v>10593.5</v>
      </c>
      <c r="M35" s="12">
        <f t="shared" si="0"/>
        <v>107256.3</v>
      </c>
    </row>
    <row r="36" spans="1:13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86222.7</v>
      </c>
      <c r="L36" s="13">
        <v>11069.8</v>
      </c>
      <c r="M36" s="12">
        <f t="shared" si="0"/>
        <v>108869.3</v>
      </c>
    </row>
    <row r="37" spans="1:13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86475.7</v>
      </c>
      <c r="L37" s="13">
        <v>11082.099999999999</v>
      </c>
      <c r="M37" s="12">
        <f t="shared" si="0"/>
        <v>111569.1</v>
      </c>
    </row>
    <row r="38" spans="1:13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/>
      <c r="I38" s="12" t="s">
        <v>0</v>
      </c>
      <c r="J38" s="11">
        <v>597.69999999999993</v>
      </c>
      <c r="K38" s="11">
        <v>87471.799999999988</v>
      </c>
      <c r="L38" s="13">
        <v>10771.5</v>
      </c>
      <c r="M38" s="12">
        <f t="shared" si="0"/>
        <v>112549.09999999999</v>
      </c>
    </row>
    <row r="39" spans="1:13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/>
      <c r="I39" s="12" t="s">
        <v>0</v>
      </c>
      <c r="J39" s="11">
        <v>597.69999999999993</v>
      </c>
      <c r="K39" s="11">
        <v>88217.600000000006</v>
      </c>
      <c r="L39" s="13">
        <v>10941.9</v>
      </c>
      <c r="M39" s="12">
        <f t="shared" si="0"/>
        <v>113491.3</v>
      </c>
    </row>
    <row r="40" spans="1:13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/>
      <c r="I40" s="12" t="s">
        <v>0</v>
      </c>
      <c r="J40" s="11">
        <v>668.49999999999989</v>
      </c>
      <c r="K40" s="11">
        <v>86271.200000000012</v>
      </c>
      <c r="L40" s="13">
        <v>14687.5</v>
      </c>
      <c r="M40" s="12">
        <f t="shared" si="0"/>
        <v>117332.40000000001</v>
      </c>
    </row>
    <row r="41" spans="1:13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/>
      <c r="I41" s="12" t="s">
        <v>0</v>
      </c>
      <c r="J41" s="11">
        <v>529</v>
      </c>
      <c r="K41" s="11">
        <v>86640.700000000012</v>
      </c>
      <c r="L41" s="13">
        <v>14206.4</v>
      </c>
      <c r="M41" s="12">
        <f t="shared" si="0"/>
        <v>119462</v>
      </c>
    </row>
    <row r="42" spans="1:13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/>
      <c r="I42" s="12" t="s">
        <v>0</v>
      </c>
      <c r="J42" s="11">
        <v>529</v>
      </c>
      <c r="K42" s="11">
        <v>86875.5</v>
      </c>
      <c r="L42" s="13">
        <v>16647.199999999997</v>
      </c>
      <c r="M42" s="12">
        <f t="shared" si="0"/>
        <v>120085.5</v>
      </c>
    </row>
    <row r="43" spans="1:13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/>
      <c r="I43" s="12" t="s">
        <v>0</v>
      </c>
      <c r="J43" s="11">
        <v>529</v>
      </c>
      <c r="K43" s="11">
        <v>88010.900000000009</v>
      </c>
      <c r="L43" s="13">
        <v>17623.300000000003</v>
      </c>
      <c r="M43" s="12">
        <f t="shared" si="0"/>
        <v>123543.00000000001</v>
      </c>
    </row>
    <row r="44" spans="1:13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/>
      <c r="I44" s="12" t="s">
        <v>0</v>
      </c>
      <c r="J44" s="11">
        <v>528.20000000000005</v>
      </c>
      <c r="K44" s="11">
        <v>90185.5</v>
      </c>
      <c r="L44" s="13">
        <v>17286</v>
      </c>
      <c r="M44" s="12">
        <f t="shared" si="0"/>
        <v>126871.1</v>
      </c>
    </row>
    <row r="45" spans="1:13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/>
      <c r="I45" s="12" t="s">
        <v>0</v>
      </c>
      <c r="J45" s="11">
        <v>528.20000000000005</v>
      </c>
      <c r="K45" s="11">
        <v>92994.4</v>
      </c>
      <c r="L45" s="13">
        <v>17590.5</v>
      </c>
      <c r="M45" s="12">
        <f t="shared" si="0"/>
        <v>127572</v>
      </c>
    </row>
    <row r="46" spans="1:13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/>
      <c r="I46" s="12" t="s">
        <v>0</v>
      </c>
      <c r="J46" s="11">
        <v>507.1</v>
      </c>
      <c r="K46" s="11">
        <v>95232.5</v>
      </c>
      <c r="L46" s="13">
        <v>17153.399999999998</v>
      </c>
      <c r="M46" s="12">
        <f t="shared" si="0"/>
        <v>128286.09999999999</v>
      </c>
    </row>
    <row r="47" spans="1:13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/>
      <c r="I47" s="12" t="s">
        <v>0</v>
      </c>
      <c r="J47" s="11">
        <v>507.1</v>
      </c>
      <c r="K47" s="11">
        <v>96470.1</v>
      </c>
      <c r="L47" s="13">
        <v>17272.400000000001</v>
      </c>
      <c r="M47" s="12">
        <f t="shared" si="0"/>
        <v>127629.80000000002</v>
      </c>
    </row>
    <row r="48" spans="1:13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/>
      <c r="I48" s="12" t="s">
        <v>0</v>
      </c>
      <c r="J48" s="11">
        <v>507.1</v>
      </c>
      <c r="K48" s="11">
        <v>97434.2</v>
      </c>
      <c r="L48" s="13">
        <v>17481.699999999997</v>
      </c>
      <c r="M48" s="12">
        <f t="shared" si="0"/>
        <v>130479.59999999999</v>
      </c>
    </row>
    <row r="49" spans="1:13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/>
      <c r="I49" s="12" t="s">
        <v>0</v>
      </c>
      <c r="J49" s="11">
        <v>507.1</v>
      </c>
      <c r="K49" s="11">
        <v>97450.7</v>
      </c>
      <c r="L49" s="13">
        <v>18564.7</v>
      </c>
      <c r="M49" s="12">
        <f t="shared" si="0"/>
        <v>132837.20000000001</v>
      </c>
    </row>
    <row r="50" spans="1:13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/>
      <c r="I50" s="12" t="s">
        <v>0</v>
      </c>
      <c r="J50" s="11">
        <v>507.1</v>
      </c>
      <c r="K50" s="11">
        <v>98409.9</v>
      </c>
      <c r="L50" s="13">
        <v>18620.599999999999</v>
      </c>
      <c r="M50" s="12">
        <f t="shared" si="0"/>
        <v>134263.69999999998</v>
      </c>
    </row>
    <row r="51" spans="1:13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/>
      <c r="I51" s="12" t="s">
        <v>0</v>
      </c>
      <c r="J51" s="11">
        <v>507.1</v>
      </c>
      <c r="K51" s="11">
        <v>100933</v>
      </c>
      <c r="L51" s="13">
        <v>19054</v>
      </c>
      <c r="M51" s="12">
        <f t="shared" si="0"/>
        <v>135847.9</v>
      </c>
    </row>
    <row r="52" spans="1:13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/>
      <c r="I52" s="12" t="s">
        <v>0</v>
      </c>
      <c r="J52" s="11">
        <v>507.1</v>
      </c>
      <c r="K52" s="11">
        <v>102240.59999999999</v>
      </c>
      <c r="L52" s="13">
        <v>19770.900000000001</v>
      </c>
      <c r="M52" s="12">
        <f t="shared" si="0"/>
        <v>137254.19999999998</v>
      </c>
    </row>
    <row r="53" spans="1:13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/>
      <c r="I53" s="12" t="s">
        <v>0</v>
      </c>
      <c r="J53" s="11">
        <v>507.1</v>
      </c>
      <c r="K53" s="11">
        <v>102322.1</v>
      </c>
      <c r="L53" s="13">
        <v>19061.099999999999</v>
      </c>
      <c r="M53" s="12">
        <f t="shared" si="0"/>
        <v>138205.80000000002</v>
      </c>
    </row>
    <row r="54" spans="1:13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/>
      <c r="I54" s="12" t="s">
        <v>0</v>
      </c>
      <c r="J54" s="11">
        <v>507.1</v>
      </c>
      <c r="K54" s="11">
        <v>102883.09999999999</v>
      </c>
      <c r="L54" s="13">
        <v>20375</v>
      </c>
      <c r="M54" s="12">
        <f t="shared" si="0"/>
        <v>138601.4</v>
      </c>
    </row>
    <row r="55" spans="1:13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/>
      <c r="I55" s="12" t="s">
        <v>0</v>
      </c>
      <c r="J55" s="11">
        <v>447.7</v>
      </c>
      <c r="K55" s="11">
        <v>100818</v>
      </c>
      <c r="L55" s="13">
        <v>20167.2</v>
      </c>
      <c r="M55" s="12">
        <f t="shared" si="0"/>
        <v>136597.9</v>
      </c>
    </row>
    <row r="56" spans="1:13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/>
      <c r="I56" s="12" t="s">
        <v>0</v>
      </c>
      <c r="J56" s="11">
        <v>447.7</v>
      </c>
      <c r="K56" s="11">
        <v>100995.79999999999</v>
      </c>
      <c r="L56" s="13">
        <v>20915.400000000001</v>
      </c>
      <c r="M56" s="12">
        <f t="shared" si="0"/>
        <v>138601.59999999998</v>
      </c>
    </row>
    <row r="57" spans="1:13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/>
      <c r="I57" s="12" t="s">
        <v>0</v>
      </c>
      <c r="J57" s="11" t="s">
        <v>0</v>
      </c>
      <c r="K57" s="11">
        <v>103058.7</v>
      </c>
      <c r="L57" s="13">
        <v>20763.599999999999</v>
      </c>
      <c r="M57" s="12">
        <f t="shared" si="0"/>
        <v>139779.19999999998</v>
      </c>
    </row>
    <row r="58" spans="1:13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/>
      <c r="I58" s="12" t="s">
        <v>0</v>
      </c>
      <c r="J58" s="11" t="s">
        <v>0</v>
      </c>
      <c r="K58" s="11">
        <v>104816.59999999999</v>
      </c>
      <c r="L58" s="13">
        <v>20089.900000000001</v>
      </c>
      <c r="M58" s="12">
        <f t="shared" si="0"/>
        <v>143008.29999999999</v>
      </c>
    </row>
    <row r="59" spans="1:13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/>
      <c r="I59" s="12" t="s">
        <v>0</v>
      </c>
      <c r="J59" s="11" t="s">
        <v>0</v>
      </c>
      <c r="K59" s="11">
        <v>105879.4</v>
      </c>
      <c r="L59" s="13">
        <v>20318.400000000001</v>
      </c>
      <c r="M59" s="12">
        <f t="shared" si="0"/>
        <v>144458.9</v>
      </c>
    </row>
    <row r="60" spans="1:13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/>
      <c r="I60" s="12" t="s">
        <v>0</v>
      </c>
      <c r="J60" s="11" t="s">
        <v>0</v>
      </c>
      <c r="K60" s="11">
        <v>106187.59999999999</v>
      </c>
      <c r="L60" s="13">
        <v>20466.400000000001</v>
      </c>
      <c r="M60" s="12">
        <f t="shared" si="0"/>
        <v>146179.5</v>
      </c>
    </row>
    <row r="61" spans="1:13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/>
      <c r="I61" s="12" t="s">
        <v>0</v>
      </c>
      <c r="J61" s="11" t="s">
        <v>0</v>
      </c>
      <c r="K61" s="11">
        <v>108208.6</v>
      </c>
      <c r="L61" s="13">
        <v>21122.1</v>
      </c>
      <c r="M61" s="12">
        <f t="shared" si="0"/>
        <v>146891.30000000002</v>
      </c>
    </row>
    <row r="62" spans="1:13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/>
      <c r="I62" s="12" t="s">
        <v>0</v>
      </c>
      <c r="J62" s="11">
        <v>1006.9</v>
      </c>
      <c r="K62" s="11">
        <v>108527.6</v>
      </c>
      <c r="L62" s="13">
        <v>21300.800000000003</v>
      </c>
      <c r="M62" s="12">
        <f t="shared" si="0"/>
        <v>147659.79999999999</v>
      </c>
    </row>
    <row r="63" spans="1:13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/>
      <c r="I63" s="12" t="s">
        <v>0</v>
      </c>
      <c r="J63" s="11">
        <v>1013.9</v>
      </c>
      <c r="K63" s="11">
        <v>109499.2</v>
      </c>
      <c r="L63" s="13">
        <v>21679.4</v>
      </c>
      <c r="M63" s="12">
        <f t="shared" si="0"/>
        <v>149474.5</v>
      </c>
    </row>
    <row r="64" spans="1:13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/>
      <c r="I64" s="12" t="s">
        <v>0</v>
      </c>
      <c r="J64" s="11">
        <v>1020.8</v>
      </c>
      <c r="K64" s="11">
        <v>108940.70000000001</v>
      </c>
      <c r="L64" s="13">
        <v>21935.599999999999</v>
      </c>
      <c r="M64" s="12">
        <f t="shared" si="0"/>
        <v>150380.6</v>
      </c>
    </row>
    <row r="65" spans="1:13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/>
      <c r="I65" s="12" t="s">
        <v>0</v>
      </c>
      <c r="J65" s="11" t="s">
        <v>0</v>
      </c>
      <c r="K65" s="11">
        <v>110545.9</v>
      </c>
      <c r="L65" s="13">
        <v>21126.799999999999</v>
      </c>
      <c r="M65" s="12">
        <f t="shared" si="0"/>
        <v>151201.9</v>
      </c>
    </row>
    <row r="66" spans="1:13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/>
      <c r="I66" s="12" t="s">
        <v>0</v>
      </c>
      <c r="J66" s="11" t="s">
        <v>0</v>
      </c>
      <c r="K66" s="11">
        <v>111819.8</v>
      </c>
      <c r="L66" s="13">
        <v>22449.7</v>
      </c>
      <c r="M66" s="12">
        <f t="shared" ref="M66:M77" si="1">SUM(B66:L66)</f>
        <v>152642</v>
      </c>
    </row>
    <row r="67" spans="1:13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/>
      <c r="I67" s="12" t="s">
        <v>0</v>
      </c>
      <c r="J67" s="11" t="s">
        <v>0</v>
      </c>
      <c r="K67" s="11">
        <v>111418.8</v>
      </c>
      <c r="L67" s="13">
        <v>22699.399999999998</v>
      </c>
      <c r="M67" s="12">
        <f t="shared" si="1"/>
        <v>155158.20000000001</v>
      </c>
    </row>
    <row r="68" spans="1:13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/>
      <c r="I68" s="12" t="s">
        <v>0</v>
      </c>
      <c r="J68" s="11" t="s">
        <v>0</v>
      </c>
      <c r="K68" s="11">
        <v>113092.8</v>
      </c>
      <c r="L68" s="13">
        <v>22577.199999999997</v>
      </c>
      <c r="M68" s="12">
        <f t="shared" si="1"/>
        <v>155287.79999999999</v>
      </c>
    </row>
    <row r="69" spans="1:13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/>
      <c r="I69" s="12" t="s">
        <v>0</v>
      </c>
      <c r="J69" s="11" t="s">
        <v>0</v>
      </c>
      <c r="K69" s="11">
        <v>114085.90000000001</v>
      </c>
      <c r="L69" s="13">
        <v>22866.400000000001</v>
      </c>
      <c r="M69" s="12">
        <f t="shared" si="1"/>
        <v>156641.1</v>
      </c>
    </row>
    <row r="70" spans="1:13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/>
      <c r="I70" s="12" t="s">
        <v>0</v>
      </c>
      <c r="J70" s="11" t="s">
        <v>0</v>
      </c>
      <c r="K70" s="11">
        <v>115681.60000000001</v>
      </c>
      <c r="L70" s="13">
        <v>23054.300000000003</v>
      </c>
      <c r="M70" s="12">
        <f t="shared" si="1"/>
        <v>158630.29999999999</v>
      </c>
    </row>
    <row r="71" spans="1:13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/>
      <c r="I71" s="12" t="s">
        <v>0</v>
      </c>
      <c r="J71" s="11" t="s">
        <v>0</v>
      </c>
      <c r="K71" s="11">
        <v>116258.50000000001</v>
      </c>
      <c r="L71" s="13">
        <v>23047.4</v>
      </c>
      <c r="M71" s="12">
        <f t="shared" si="1"/>
        <v>160230.9</v>
      </c>
    </row>
    <row r="72" spans="1:13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/>
      <c r="I72" s="12" t="s">
        <v>0</v>
      </c>
      <c r="J72" s="11" t="s">
        <v>0</v>
      </c>
      <c r="K72" s="11">
        <v>117886.5</v>
      </c>
      <c r="L72" s="13">
        <v>23846.7</v>
      </c>
      <c r="M72" s="12">
        <f t="shared" si="1"/>
        <v>162953.60000000001</v>
      </c>
    </row>
    <row r="73" spans="1:13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/>
      <c r="I73" s="12" t="s">
        <v>0</v>
      </c>
      <c r="J73" s="11" t="s">
        <v>0</v>
      </c>
      <c r="K73" s="11">
        <v>119228.09999999999</v>
      </c>
      <c r="L73" s="13">
        <v>23681.300000000003</v>
      </c>
      <c r="M73" s="12">
        <f t="shared" si="1"/>
        <v>163448.89999999997</v>
      </c>
    </row>
    <row r="74" spans="1:13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/>
      <c r="I74" s="12" t="s">
        <v>0</v>
      </c>
      <c r="J74" s="11" t="s">
        <v>0</v>
      </c>
      <c r="K74" s="11">
        <v>124702.39999999999</v>
      </c>
      <c r="L74" s="13">
        <v>23087</v>
      </c>
      <c r="M74" s="12">
        <f t="shared" si="1"/>
        <v>167100.29999999999</v>
      </c>
    </row>
    <row r="75" spans="1:13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/>
      <c r="I75" s="12" t="s">
        <v>0</v>
      </c>
      <c r="J75" s="11" t="s">
        <v>0</v>
      </c>
      <c r="K75" s="11">
        <v>126869.7</v>
      </c>
      <c r="L75" s="13">
        <v>23171.899999999998</v>
      </c>
      <c r="M75" s="12">
        <f t="shared" si="1"/>
        <v>168804.5</v>
      </c>
    </row>
    <row r="76" spans="1:13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/>
      <c r="I76" s="12" t="s">
        <v>0</v>
      </c>
      <c r="J76" s="11" t="s">
        <v>0</v>
      </c>
      <c r="K76" s="11">
        <v>129339.7</v>
      </c>
      <c r="L76" s="13">
        <v>23669.1</v>
      </c>
      <c r="M76" s="12">
        <f t="shared" si="1"/>
        <v>170984.5</v>
      </c>
    </row>
    <row r="77" spans="1:13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/>
      <c r="I77" s="12" t="s">
        <v>0</v>
      </c>
      <c r="J77" s="11" t="s">
        <v>0</v>
      </c>
      <c r="K77" s="11">
        <v>127946.79999999999</v>
      </c>
      <c r="L77" s="13">
        <v>21544.6</v>
      </c>
      <c r="M77" s="12">
        <f t="shared" si="1"/>
        <v>167416.29999999999</v>
      </c>
    </row>
    <row r="78" spans="1:13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/>
      <c r="I78" s="12" t="s">
        <v>0</v>
      </c>
      <c r="J78" s="11" t="s">
        <v>0</v>
      </c>
      <c r="K78" s="11">
        <v>131029.59999999999</v>
      </c>
      <c r="L78" s="13">
        <v>22495.200000000001</v>
      </c>
      <c r="M78" s="12">
        <f t="shared" ref="M78:M80" si="2">SUM(B78:L78)</f>
        <v>170695.6</v>
      </c>
    </row>
    <row r="79" spans="1:13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/>
      <c r="I79" s="12" t="s">
        <v>0</v>
      </c>
      <c r="J79" s="11" t="s">
        <v>0</v>
      </c>
      <c r="K79" s="11">
        <v>132630.20000000001</v>
      </c>
      <c r="L79" s="13">
        <v>22896.1</v>
      </c>
      <c r="M79" s="12">
        <f t="shared" si="2"/>
        <v>174044.7</v>
      </c>
    </row>
    <row r="80" spans="1:13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/>
      <c r="I80" s="12" t="s">
        <v>0</v>
      </c>
      <c r="J80" s="11" t="s">
        <v>0</v>
      </c>
      <c r="K80" s="11">
        <v>134656.50000000003</v>
      </c>
      <c r="L80" s="13">
        <v>22086</v>
      </c>
      <c r="M80" s="12">
        <f t="shared" si="2"/>
        <v>176657.30000000005</v>
      </c>
    </row>
    <row r="81" spans="1:13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/>
      <c r="I81" s="12" t="s">
        <v>0</v>
      </c>
      <c r="J81" s="11" t="s">
        <v>0</v>
      </c>
      <c r="K81" s="11">
        <f>101098.1+209.2+36019.5</f>
        <v>137326.79999999999</v>
      </c>
      <c r="L81" s="13">
        <f>6499.4+15596.1</f>
        <v>22095.5</v>
      </c>
      <c r="M81" s="12">
        <f t="shared" ref="M81:M83" si="3">SUM(B81:L81)</f>
        <v>177393.3</v>
      </c>
    </row>
    <row r="82" spans="1:13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/>
      <c r="I82" s="12" t="s">
        <v>0</v>
      </c>
      <c r="J82" s="11" t="s">
        <v>0</v>
      </c>
      <c r="K82" s="11">
        <f>103281.9+209.2+36618.9</f>
        <v>140110</v>
      </c>
      <c r="L82" s="13">
        <f>6333.5+15848.7</f>
        <v>22182.2</v>
      </c>
      <c r="M82" s="12">
        <f t="shared" si="3"/>
        <v>178900.5</v>
      </c>
    </row>
    <row r="83" spans="1:13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/>
      <c r="I83" s="12" t="s">
        <v>0</v>
      </c>
      <c r="J83" s="11" t="s">
        <v>0</v>
      </c>
      <c r="K83" s="11">
        <f>103842.3+209.2+37633.7</f>
        <v>141685.20000000001</v>
      </c>
      <c r="L83" s="13">
        <f>5430.7+15661.6</f>
        <v>21092.3</v>
      </c>
      <c r="M83" s="12">
        <f t="shared" si="3"/>
        <v>183079.6</v>
      </c>
    </row>
    <row r="84" spans="1:13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/>
      <c r="I84" s="12" t="s">
        <v>0</v>
      </c>
      <c r="J84" s="11" t="s">
        <v>0</v>
      </c>
      <c r="K84" s="11">
        <f>106956.1+209.2+36673.1</f>
        <v>143838.39999999999</v>
      </c>
      <c r="L84" s="13">
        <f>6118.2+16763.6</f>
        <v>22881.8</v>
      </c>
      <c r="M84" s="12">
        <f t="shared" ref="M84" si="4">SUM(B84:L84)</f>
        <v>186224.99999999997</v>
      </c>
    </row>
    <row r="85" spans="1:13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/>
      <c r="I85" s="12" t="s">
        <v>0</v>
      </c>
      <c r="J85" s="11" t="s">
        <v>0</v>
      </c>
      <c r="K85" s="11">
        <f>107925.5+209.2+36448.9</f>
        <v>144583.6</v>
      </c>
      <c r="L85" s="13">
        <f>6159.6+17053.5</f>
        <v>23213.1</v>
      </c>
      <c r="M85" s="12">
        <f t="shared" ref="M85" si="5">SUM(B85:L85)</f>
        <v>188941.7</v>
      </c>
    </row>
    <row r="86" spans="1:13" x14ac:dyDescent="0.25">
      <c r="A86" s="60">
        <v>43738</v>
      </c>
      <c r="B86" s="12" t="s">
        <v>0</v>
      </c>
      <c r="C86" s="12">
        <f>3873+4180.2</f>
        <v>8053.2</v>
      </c>
      <c r="D86" s="12">
        <v>4774.7999999999993</v>
      </c>
      <c r="E86" s="12">
        <v>11</v>
      </c>
      <c r="F86" s="12">
        <f>4137.8+33.9+3619.2</f>
        <v>7790.9</v>
      </c>
      <c r="G86" s="12"/>
      <c r="H86" s="12"/>
      <c r="I86" s="12" t="s">
        <v>0</v>
      </c>
      <c r="J86" s="11" t="s">
        <v>0</v>
      </c>
      <c r="K86" s="11">
        <f>110127.3+209.2+36089.9</f>
        <v>146426.4</v>
      </c>
      <c r="L86" s="13">
        <f>6052.2+17038</f>
        <v>23090.2</v>
      </c>
      <c r="M86" s="12">
        <f t="shared" ref="M86" si="6">SUM(B86:L86)</f>
        <v>190146.5</v>
      </c>
    </row>
    <row r="87" spans="1:13" x14ac:dyDescent="0.25">
      <c r="A87" s="60">
        <v>43739</v>
      </c>
      <c r="B87" s="12" t="s">
        <v>0</v>
      </c>
      <c r="C87" s="12">
        <f>4619.9+6413.3</f>
        <v>11033.2</v>
      </c>
      <c r="D87" s="12">
        <v>4808.7000000000007</v>
      </c>
      <c r="E87" s="12">
        <v>11</v>
      </c>
      <c r="F87" s="12">
        <f>6171.8+33.9+3135.4</f>
        <v>9341.1</v>
      </c>
      <c r="G87" s="12"/>
      <c r="H87" s="12"/>
      <c r="I87" s="12" t="s">
        <v>0</v>
      </c>
      <c r="J87" s="11" t="s">
        <v>0</v>
      </c>
      <c r="K87" s="11">
        <f>110550.3+209.2+36140.9</f>
        <v>146900.4</v>
      </c>
      <c r="L87" s="13">
        <f>6164.9+17589.3</f>
        <v>23754.199999999997</v>
      </c>
      <c r="M87" s="12">
        <f t="shared" ref="M87:M88" si="7">SUM(B87:L87)</f>
        <v>195848.59999999998</v>
      </c>
    </row>
    <row r="88" spans="1:13" x14ac:dyDescent="0.25">
      <c r="A88" s="60">
        <v>43799</v>
      </c>
      <c r="B88" s="12" t="s">
        <v>0</v>
      </c>
      <c r="C88" s="12">
        <f>2866.7+6430.5</f>
        <v>9297.2000000000007</v>
      </c>
      <c r="D88" s="12">
        <v>4841.6000000000004</v>
      </c>
      <c r="E88" s="12">
        <v>11</v>
      </c>
      <c r="F88" s="12">
        <f>8233.9+33.9+4158.8</f>
        <v>12426.599999999999</v>
      </c>
      <c r="G88" s="12"/>
      <c r="H88" s="12"/>
      <c r="I88" s="12" t="s">
        <v>0</v>
      </c>
      <c r="J88" s="11" t="s">
        <v>0</v>
      </c>
      <c r="K88" s="11">
        <f>110954.9+209.2+36795.6</f>
        <v>147959.69999999998</v>
      </c>
      <c r="L88" s="13">
        <f>6611.5+18325.8</f>
        <v>24937.3</v>
      </c>
      <c r="M88" s="12">
        <f t="shared" si="7"/>
        <v>199473.39999999997</v>
      </c>
    </row>
    <row r="89" spans="1:13" x14ac:dyDescent="0.25">
      <c r="A89" s="60">
        <v>43800</v>
      </c>
      <c r="B89" s="12"/>
      <c r="C89" s="12">
        <f>5090.1+4883.7</f>
        <v>9973.7999999999993</v>
      </c>
      <c r="D89" s="12">
        <v>4902.2</v>
      </c>
      <c r="E89" s="12">
        <v>11</v>
      </c>
      <c r="F89" s="12">
        <f>50.8+11819.8+3685.5</f>
        <v>15556.099999999999</v>
      </c>
      <c r="G89" s="12"/>
      <c r="H89" s="12"/>
      <c r="I89" s="12" t="s">
        <v>0</v>
      </c>
      <c r="J89" s="11" t="s">
        <v>0</v>
      </c>
      <c r="K89" s="11">
        <f>110736.2+209.2+37577.5</f>
        <v>148522.9</v>
      </c>
      <c r="L89" s="13">
        <f>5906.9+17480</f>
        <v>23386.9</v>
      </c>
      <c r="M89" s="12">
        <f t="shared" ref="M89" si="8">SUM(B89:L89)</f>
        <v>202352.9</v>
      </c>
    </row>
    <row r="90" spans="1:13" x14ac:dyDescent="0.25">
      <c r="A90" s="60">
        <v>43861</v>
      </c>
      <c r="B90" s="12" t="s">
        <v>0</v>
      </c>
      <c r="C90" s="12">
        <f>5283.6+3441</f>
        <v>8724.6</v>
      </c>
      <c r="D90" s="12">
        <v>4939.2999999999993</v>
      </c>
      <c r="E90" s="12">
        <v>11</v>
      </c>
      <c r="F90" s="12">
        <f>50.8+12942.3+3212.3</f>
        <v>16205.399999999998</v>
      </c>
      <c r="G90" s="12"/>
      <c r="H90" s="12"/>
      <c r="I90" s="12" t="s">
        <v>0</v>
      </c>
      <c r="J90" s="11" t="s">
        <v>0</v>
      </c>
      <c r="K90" s="11">
        <f>111511+209.2+38150.3</f>
        <v>149870.5</v>
      </c>
      <c r="L90" s="13">
        <f>6237.5+18934.9</f>
        <v>25172.400000000001</v>
      </c>
      <c r="M90" s="12">
        <f t="shared" ref="M90" si="9">SUM(B90:L90)</f>
        <v>204923.19999999998</v>
      </c>
    </row>
    <row r="91" spans="1:13" x14ac:dyDescent="0.25">
      <c r="A91" s="60">
        <v>43862</v>
      </c>
      <c r="B91" s="12" t="s">
        <v>0</v>
      </c>
      <c r="C91" s="12">
        <f>5060+4298.9</f>
        <v>9358.9</v>
      </c>
      <c r="D91" s="12">
        <v>2910.3</v>
      </c>
      <c r="E91" s="12">
        <v>11</v>
      </c>
      <c r="F91" s="12">
        <f>84.3+15065.2+3047</f>
        <v>18196.5</v>
      </c>
      <c r="G91" s="12"/>
      <c r="H91" s="12"/>
      <c r="I91" s="12" t="s">
        <v>0</v>
      </c>
      <c r="J91" s="11" t="s">
        <v>0</v>
      </c>
      <c r="K91" s="11">
        <f>113717.4+209.2+38820.2</f>
        <v>152746.79999999999</v>
      </c>
      <c r="L91" s="13">
        <f>6439.3+18454.4</f>
        <v>24893.7</v>
      </c>
      <c r="M91" s="12">
        <f t="shared" ref="M91" si="10">SUM(B91:L91)</f>
        <v>208117.2</v>
      </c>
    </row>
    <row r="92" spans="1:13" x14ac:dyDescent="0.25">
      <c r="A92" s="60">
        <v>43921</v>
      </c>
      <c r="B92" s="12" t="s">
        <v>0</v>
      </c>
      <c r="C92" s="12">
        <f>4922.4+3985.9</f>
        <v>8908.2999999999993</v>
      </c>
      <c r="D92" s="12">
        <v>2697.5</v>
      </c>
      <c r="E92" s="12">
        <v>11</v>
      </c>
      <c r="F92" s="12">
        <f>0+14308.4+3073.8</f>
        <v>17382.2</v>
      </c>
      <c r="G92" s="12"/>
      <c r="H92" s="12"/>
      <c r="I92" s="12" t="s">
        <v>0</v>
      </c>
      <c r="J92" s="11" t="s">
        <v>0</v>
      </c>
      <c r="K92" s="11">
        <f>116111+209.2+39988.2</f>
        <v>156308.4</v>
      </c>
      <c r="L92" s="13">
        <f>6882+18870.2</f>
        <v>25752.2</v>
      </c>
      <c r="M92" s="12">
        <f t="shared" ref="M92" si="11">SUM(B92:L92)</f>
        <v>211059.6</v>
      </c>
    </row>
    <row r="93" spans="1:13" x14ac:dyDescent="0.25">
      <c r="A93" s="60">
        <v>43951</v>
      </c>
      <c r="B93" s="12" t="s">
        <v>0</v>
      </c>
      <c r="C93" s="12">
        <f>5110.3+2434.2</f>
        <v>7544.5</v>
      </c>
      <c r="D93" s="12">
        <v>2719.7</v>
      </c>
      <c r="E93" s="12">
        <v>11</v>
      </c>
      <c r="F93" s="12">
        <f>0+14440.3+3099.7</f>
        <v>17540</v>
      </c>
      <c r="G93" s="12"/>
      <c r="H93" s="12"/>
      <c r="I93" s="12" t="s">
        <v>0</v>
      </c>
      <c r="J93" s="11" t="s">
        <v>0</v>
      </c>
      <c r="K93" s="11">
        <f>120287.8+209.2+40606.4</f>
        <v>161103.4</v>
      </c>
      <c r="L93" s="13">
        <f>6240.2+18760.1</f>
        <v>25000.3</v>
      </c>
      <c r="M93" s="12">
        <f t="shared" ref="M93:M94" si="12">SUM(B93:L93)</f>
        <v>213918.9</v>
      </c>
    </row>
    <row r="94" spans="1:13" x14ac:dyDescent="0.25">
      <c r="A94" s="60">
        <v>43952</v>
      </c>
      <c r="B94" s="12" t="s">
        <v>0</v>
      </c>
      <c r="C94" s="12">
        <f>5554.5+1208.5</f>
        <v>6763</v>
      </c>
      <c r="D94" s="12">
        <v>2742.8</v>
      </c>
      <c r="E94" s="12">
        <v>11</v>
      </c>
      <c r="F94" s="12">
        <f>3126.6+0+14576.6</f>
        <v>17703.2</v>
      </c>
      <c r="G94" s="12"/>
      <c r="H94" s="12"/>
      <c r="I94" s="12" t="s">
        <v>0</v>
      </c>
      <c r="J94" s="11" t="s">
        <v>0</v>
      </c>
      <c r="K94" s="11">
        <f>209.2+41157.6+122690.3</f>
        <v>164057.1</v>
      </c>
      <c r="L94" s="13">
        <f>5859.3+20428</f>
        <v>26287.3</v>
      </c>
      <c r="M94" s="12">
        <f t="shared" si="12"/>
        <v>217564.4</v>
      </c>
    </row>
    <row r="95" spans="1:13" x14ac:dyDescent="0.25">
      <c r="A95" s="60">
        <v>44012</v>
      </c>
      <c r="B95" s="12" t="s">
        <v>0</v>
      </c>
      <c r="C95" s="12">
        <f>6380.8+3899.9</f>
        <v>10280.700000000001</v>
      </c>
      <c r="D95" s="12">
        <v>1752.9</v>
      </c>
      <c r="E95" s="12">
        <v>11</v>
      </c>
      <c r="F95" s="12">
        <f>3152.5+14708.5+21.1</f>
        <v>17882.099999999999</v>
      </c>
      <c r="G95" s="12"/>
      <c r="H95" s="12"/>
      <c r="I95" s="12" t="s">
        <v>0</v>
      </c>
      <c r="J95" s="11" t="s">
        <v>0</v>
      </c>
      <c r="K95" s="11">
        <f>209.2+41960.7+126938.8</f>
        <v>169108.7</v>
      </c>
      <c r="L95" s="13">
        <f>6238.4+20241.7</f>
        <v>26480.1</v>
      </c>
      <c r="M95" s="12">
        <f t="shared" ref="M95" si="13">SUM(B95:L95)</f>
        <v>225515.50000000003</v>
      </c>
    </row>
    <row r="96" spans="1:13" x14ac:dyDescent="0.25">
      <c r="A96" s="60">
        <v>44043</v>
      </c>
      <c r="B96" s="12" t="s">
        <v>0</v>
      </c>
      <c r="C96" s="12">
        <f>5073.4+4092.2</f>
        <v>9165.5999999999985</v>
      </c>
      <c r="D96" s="12">
        <v>1767.8</v>
      </c>
      <c r="E96" s="12">
        <v>11</v>
      </c>
      <c r="F96" s="12">
        <f>3179.4+14645.3+21.1</f>
        <v>17845.8</v>
      </c>
      <c r="G96" s="12"/>
      <c r="H96" s="12"/>
      <c r="I96" s="12" t="s">
        <v>0</v>
      </c>
      <c r="J96" s="11" t="s">
        <v>0</v>
      </c>
      <c r="K96" s="11">
        <f>209.2+43617.1+135398.7</f>
        <v>179225</v>
      </c>
      <c r="L96" s="13">
        <f>6236.3+21514.5</f>
        <v>27750.799999999999</v>
      </c>
      <c r="M96" s="12">
        <f t="shared" ref="M96:M97" si="14">SUM(B96:L96)</f>
        <v>235766</v>
      </c>
    </row>
    <row r="97" spans="1:13" x14ac:dyDescent="0.25">
      <c r="A97" s="60">
        <v>44074</v>
      </c>
      <c r="B97" s="12" t="s">
        <v>0</v>
      </c>
      <c r="C97" s="12">
        <f>4559.6+2895.9</f>
        <v>7455.5</v>
      </c>
      <c r="D97" s="12">
        <v>11.4</v>
      </c>
      <c r="E97" s="12">
        <v>11</v>
      </c>
      <c r="F97" s="12">
        <f>3206.2+14781.6+21.1</f>
        <v>18008.899999999998</v>
      </c>
      <c r="G97" s="12"/>
      <c r="H97" s="12"/>
      <c r="I97" s="12" t="s">
        <v>0</v>
      </c>
      <c r="J97" s="11" t="s">
        <v>0</v>
      </c>
      <c r="K97" s="11">
        <f>209.2+44571.6+140270.4</f>
        <v>185051.19999999998</v>
      </c>
      <c r="L97" s="13">
        <f>6017.2+20684.5</f>
        <v>26701.7</v>
      </c>
      <c r="M97" s="12">
        <f t="shared" si="14"/>
        <v>237239.69999999998</v>
      </c>
    </row>
    <row r="98" spans="1:13" x14ac:dyDescent="0.25">
      <c r="A98" s="60">
        <v>44104</v>
      </c>
      <c r="B98" s="12" t="s">
        <v>0</v>
      </c>
      <c r="C98" s="12">
        <f>3996.5+4410.7</f>
        <v>8407.2000000000007</v>
      </c>
      <c r="D98" s="12">
        <v>11.4</v>
      </c>
      <c r="E98" s="12">
        <v>11</v>
      </c>
      <c r="F98" s="12">
        <f>3232.2+14913.5+42.1</f>
        <v>18187.8</v>
      </c>
      <c r="G98" s="12"/>
      <c r="H98" s="12"/>
      <c r="I98" s="12" t="s">
        <v>0</v>
      </c>
      <c r="J98" s="11" t="s">
        <v>0</v>
      </c>
      <c r="K98" s="11">
        <f>209.2+45187.6+145072.1</f>
        <v>190468.9</v>
      </c>
      <c r="L98" s="13">
        <f>6134.5+21060.7</f>
        <v>27195.200000000001</v>
      </c>
      <c r="M98" s="12">
        <f t="shared" ref="M98" si="15">SUM(B98:L98)</f>
        <v>244281.5</v>
      </c>
    </row>
    <row r="99" spans="1:13" x14ac:dyDescent="0.25">
      <c r="A99" s="60">
        <v>44135</v>
      </c>
      <c r="B99" s="12" t="s">
        <v>0</v>
      </c>
      <c r="C99" s="12">
        <f>4323.9+2591.1</f>
        <v>6915</v>
      </c>
      <c r="D99" s="12">
        <v>11.4</v>
      </c>
      <c r="E99" s="12">
        <v>11</v>
      </c>
      <c r="F99" s="12">
        <f>3259+15049.8+42.1</f>
        <v>18350.899999999998</v>
      </c>
      <c r="G99" s="12"/>
      <c r="H99" s="12"/>
      <c r="I99" s="12" t="s">
        <v>0</v>
      </c>
      <c r="J99" s="11" t="s">
        <v>0</v>
      </c>
      <c r="K99" s="11">
        <f>209.2+45064.7+150128.2</f>
        <v>195402.1</v>
      </c>
      <c r="L99" s="13">
        <f>6099.3+21197.1</f>
        <v>27296.399999999998</v>
      </c>
      <c r="M99" s="12">
        <f t="shared" ref="M99:M101" si="16">SUM(B99:L99)</f>
        <v>247986.8</v>
      </c>
    </row>
    <row r="100" spans="1:13" x14ac:dyDescent="0.25">
      <c r="A100" s="60">
        <v>44165</v>
      </c>
      <c r="B100" s="12" t="s">
        <v>0</v>
      </c>
      <c r="C100" s="12">
        <f>4730.2+3629.4</f>
        <v>8359.6</v>
      </c>
      <c r="D100" s="12">
        <v>9.4</v>
      </c>
      <c r="E100" s="12">
        <v>11</v>
      </c>
      <c r="F100" s="12">
        <f>3159.3+14726.2+42.1</f>
        <v>17927.599999999999</v>
      </c>
      <c r="G100" s="12"/>
      <c r="H100" s="12"/>
      <c r="I100" s="12" t="s">
        <v>0</v>
      </c>
      <c r="J100" s="11" t="s">
        <v>0</v>
      </c>
      <c r="K100" s="11">
        <f>209.2+45130.1+152438.3</f>
        <v>197777.59999999998</v>
      </c>
      <c r="L100" s="13">
        <f>6064.8+22218.5</f>
        <v>28283.3</v>
      </c>
      <c r="M100" s="12">
        <f t="shared" si="16"/>
        <v>252368.49999999997</v>
      </c>
    </row>
    <row r="101" spans="1:13" x14ac:dyDescent="0.25">
      <c r="A101" s="60">
        <v>44196</v>
      </c>
      <c r="B101" s="12" t="s">
        <v>0</v>
      </c>
      <c r="C101" s="12">
        <f>6904.2+3152.6</f>
        <v>10056.799999999999</v>
      </c>
      <c r="D101" s="12">
        <v>0</v>
      </c>
      <c r="E101" s="12">
        <v>11</v>
      </c>
      <c r="F101" s="12">
        <f>3186.1+14432.8+63.2</f>
        <v>17682.099999999999</v>
      </c>
      <c r="G101" s="12"/>
      <c r="H101" s="12"/>
      <c r="I101" s="12" t="s">
        <v>0</v>
      </c>
      <c r="J101" s="11" t="s">
        <v>0</v>
      </c>
      <c r="K101" s="11">
        <f>209.2+45845.1+157950.6</f>
        <v>204004.9</v>
      </c>
      <c r="L101" s="13">
        <f>5698.6+23022.5</f>
        <v>28721.1</v>
      </c>
      <c r="M101" s="12">
        <f t="shared" si="16"/>
        <v>260475.9</v>
      </c>
    </row>
    <row r="102" spans="1:13" x14ac:dyDescent="0.25">
      <c r="A102" s="60">
        <v>44227</v>
      </c>
      <c r="B102" s="12" t="s">
        <v>0</v>
      </c>
      <c r="C102" s="12">
        <v>9442.4</v>
      </c>
      <c r="D102" s="12">
        <v>10.4</v>
      </c>
      <c r="E102" s="12">
        <v>11</v>
      </c>
      <c r="F102" s="12">
        <v>17835.2</v>
      </c>
      <c r="G102" s="12"/>
      <c r="H102" s="12"/>
      <c r="I102" s="12" t="s">
        <v>0</v>
      </c>
      <c r="J102" s="11" t="s">
        <v>0</v>
      </c>
      <c r="K102" s="11">
        <v>208968</v>
      </c>
      <c r="L102" s="13">
        <v>29530</v>
      </c>
      <c r="M102" s="12">
        <v>265797</v>
      </c>
    </row>
    <row r="103" spans="1:13" x14ac:dyDescent="0.25">
      <c r="A103" s="60">
        <v>44255</v>
      </c>
      <c r="B103" s="12" t="s">
        <v>0</v>
      </c>
      <c r="C103" s="12">
        <v>9337</v>
      </c>
      <c r="D103" s="12">
        <v>10.4</v>
      </c>
      <c r="E103" s="12">
        <v>11</v>
      </c>
      <c r="F103" s="12">
        <v>16426.5</v>
      </c>
      <c r="G103" s="12"/>
      <c r="H103" s="12"/>
      <c r="I103" s="12" t="s">
        <v>0</v>
      </c>
      <c r="J103" s="11" t="s">
        <v>0</v>
      </c>
      <c r="K103" s="11">
        <v>213503.9</v>
      </c>
      <c r="L103" s="13">
        <v>30543</v>
      </c>
      <c r="M103" s="12">
        <v>269831.8</v>
      </c>
    </row>
    <row r="104" spans="1:13" x14ac:dyDescent="0.25">
      <c r="A104" s="60">
        <v>44286</v>
      </c>
      <c r="B104" s="12" t="s">
        <v>0</v>
      </c>
      <c r="C104" s="12">
        <v>8930</v>
      </c>
      <c r="D104" s="12">
        <v>10.4</v>
      </c>
      <c r="E104" s="12">
        <v>11</v>
      </c>
      <c r="F104" s="12">
        <v>16425.5</v>
      </c>
      <c r="G104" s="12"/>
      <c r="H104" s="12"/>
      <c r="I104" s="12" t="s">
        <v>0</v>
      </c>
      <c r="J104" s="11" t="s">
        <v>0</v>
      </c>
      <c r="K104" s="11">
        <v>218334.5</v>
      </c>
      <c r="L104" s="13">
        <v>32690.600000000002</v>
      </c>
      <c r="M104" s="12">
        <v>276402</v>
      </c>
    </row>
    <row r="105" spans="1:13" x14ac:dyDescent="0.25">
      <c r="A105" s="60">
        <v>44316</v>
      </c>
      <c r="B105" s="12" t="s">
        <v>0</v>
      </c>
      <c r="C105" s="12">
        <v>9191.7999999999993</v>
      </c>
      <c r="D105" s="12">
        <v>10.4</v>
      </c>
      <c r="E105" s="12">
        <v>11</v>
      </c>
      <c r="F105" s="12">
        <v>17015.600000000002</v>
      </c>
      <c r="G105" s="12"/>
      <c r="H105" s="12"/>
      <c r="I105" s="12" t="s">
        <v>0</v>
      </c>
      <c r="J105" s="11" t="s">
        <v>0</v>
      </c>
      <c r="K105" s="11">
        <v>222135.40000000002</v>
      </c>
      <c r="L105" s="13">
        <v>31736.6</v>
      </c>
      <c r="M105" s="12">
        <v>280100.8</v>
      </c>
    </row>
    <row r="106" spans="1:13" x14ac:dyDescent="0.25">
      <c r="A106" s="60">
        <v>44347</v>
      </c>
      <c r="B106" s="12" t="s">
        <v>0</v>
      </c>
      <c r="C106" s="12">
        <v>8775.9</v>
      </c>
      <c r="D106" s="12">
        <v>10.4</v>
      </c>
      <c r="E106" s="12">
        <v>11</v>
      </c>
      <c r="F106" s="12">
        <v>17174.7</v>
      </c>
      <c r="G106" s="12"/>
      <c r="H106" s="12"/>
      <c r="I106" s="12" t="s">
        <v>0</v>
      </c>
      <c r="J106" s="11" t="s">
        <v>0</v>
      </c>
      <c r="K106" s="11">
        <v>231824.09999999998</v>
      </c>
      <c r="L106" s="13">
        <v>31886.6</v>
      </c>
      <c r="M106" s="12">
        <v>289682.69999999995</v>
      </c>
    </row>
    <row r="107" spans="1:13" x14ac:dyDescent="0.25">
      <c r="A107" s="60">
        <v>44377</v>
      </c>
      <c r="B107" s="12" t="s">
        <v>0</v>
      </c>
      <c r="C107" s="12">
        <v>14625</v>
      </c>
      <c r="D107" s="12">
        <v>10.4</v>
      </c>
      <c r="E107" s="12">
        <v>11</v>
      </c>
      <c r="F107" s="12">
        <v>17356.2</v>
      </c>
      <c r="G107" s="12"/>
      <c r="H107" s="12"/>
      <c r="I107" s="12" t="s">
        <v>0</v>
      </c>
      <c r="J107" s="11" t="s">
        <v>0</v>
      </c>
      <c r="K107" s="11">
        <v>243053.59999999998</v>
      </c>
      <c r="L107" s="13">
        <v>32183.899999999998</v>
      </c>
      <c r="M107" s="12">
        <v>307240.09999999998</v>
      </c>
    </row>
    <row r="108" spans="1:13" x14ac:dyDescent="0.25">
      <c r="A108" s="60">
        <v>44408</v>
      </c>
      <c r="B108" s="12" t="s">
        <v>0</v>
      </c>
      <c r="C108" s="12">
        <v>8226.2999999999993</v>
      </c>
      <c r="D108" s="12">
        <v>10.4</v>
      </c>
      <c r="E108" s="12">
        <v>11</v>
      </c>
      <c r="F108" s="12">
        <v>17501.2</v>
      </c>
      <c r="G108" s="12"/>
      <c r="H108" s="12"/>
      <c r="I108" s="12" t="s">
        <v>0</v>
      </c>
      <c r="J108" s="11" t="s">
        <v>0</v>
      </c>
      <c r="K108" s="11">
        <v>250400.2</v>
      </c>
      <c r="L108" s="13">
        <v>34166.5</v>
      </c>
      <c r="M108" s="12">
        <v>310315.60000000003</v>
      </c>
    </row>
    <row r="109" spans="1:13" x14ac:dyDescent="0.25">
      <c r="A109" s="60">
        <v>44439</v>
      </c>
      <c r="B109" s="12">
        <v>0</v>
      </c>
      <c r="C109" s="12">
        <v>14809.7</v>
      </c>
      <c r="D109" s="12">
        <v>10.5</v>
      </c>
      <c r="E109" s="12">
        <v>11</v>
      </c>
      <c r="F109" s="12">
        <v>17660</v>
      </c>
      <c r="G109" s="12"/>
      <c r="H109" s="12"/>
      <c r="I109" s="12" t="s">
        <v>0</v>
      </c>
      <c r="J109" s="11" t="s">
        <v>0</v>
      </c>
      <c r="K109" s="11">
        <v>263666.7</v>
      </c>
      <c r="L109" s="13">
        <v>43910.3</v>
      </c>
      <c r="M109" s="12">
        <v>340068.2</v>
      </c>
    </row>
    <row r="110" spans="1:13" x14ac:dyDescent="0.25">
      <c r="A110" s="60">
        <v>44440</v>
      </c>
      <c r="B110" s="12">
        <v>0</v>
      </c>
      <c r="C110" s="12">
        <v>7178.1</v>
      </c>
      <c r="D110" s="12">
        <v>0</v>
      </c>
      <c r="E110" s="12">
        <v>11</v>
      </c>
      <c r="F110" s="12">
        <v>2696.8</v>
      </c>
      <c r="G110" s="12"/>
      <c r="H110" s="12"/>
      <c r="I110" s="12" t="s">
        <v>0</v>
      </c>
      <c r="J110" s="11" t="s">
        <v>0</v>
      </c>
      <c r="K110" s="11">
        <v>76382.899999999994</v>
      </c>
      <c r="L110" s="13">
        <v>6176.3000000000011</v>
      </c>
      <c r="M110" s="12">
        <v>92445.099999999991</v>
      </c>
    </row>
    <row r="111" spans="1:13" x14ac:dyDescent="0.25">
      <c r="A111" s="60">
        <v>44500</v>
      </c>
      <c r="B111" s="12">
        <v>0</v>
      </c>
      <c r="C111" s="12">
        <v>7331</v>
      </c>
      <c r="D111" s="12">
        <v>0</v>
      </c>
      <c r="E111" s="12">
        <v>11</v>
      </c>
      <c r="F111" s="12">
        <v>2719.6</v>
      </c>
      <c r="G111" s="12"/>
      <c r="H111" s="12"/>
      <c r="I111" s="12" t="s">
        <v>0</v>
      </c>
      <c r="J111" s="11" t="s">
        <v>0</v>
      </c>
      <c r="K111" s="11">
        <v>76316.7</v>
      </c>
      <c r="L111" s="13">
        <v>6030.3</v>
      </c>
      <c r="M111" s="12">
        <v>92408.6</v>
      </c>
    </row>
    <row r="112" spans="1:13" x14ac:dyDescent="0.25">
      <c r="A112" s="60">
        <v>44501</v>
      </c>
      <c r="B112" s="12">
        <v>0</v>
      </c>
      <c r="C112" s="12">
        <v>6679.1</v>
      </c>
      <c r="D112" s="12">
        <v>0</v>
      </c>
      <c r="E112" s="12">
        <v>11</v>
      </c>
      <c r="F112" s="12">
        <v>2616.3000000000002</v>
      </c>
      <c r="G112" s="12"/>
      <c r="H112" s="12"/>
      <c r="I112" s="12" t="s">
        <v>0</v>
      </c>
      <c r="J112" s="11" t="s">
        <v>0</v>
      </c>
      <c r="K112" s="11">
        <v>77721</v>
      </c>
      <c r="L112" s="13">
        <v>6360.9</v>
      </c>
      <c r="M112" s="12">
        <v>93388.299999999988</v>
      </c>
    </row>
    <row r="113" spans="1:13" x14ac:dyDescent="0.25">
      <c r="A113" s="60">
        <v>44532</v>
      </c>
      <c r="B113" s="12">
        <v>0</v>
      </c>
      <c r="C113" s="12">
        <v>7954.5</v>
      </c>
      <c r="D113" s="12">
        <v>0</v>
      </c>
      <c r="E113" s="12">
        <v>11</v>
      </c>
      <c r="F113" s="12">
        <v>2639.1</v>
      </c>
      <c r="G113" s="12"/>
      <c r="H113" s="12"/>
      <c r="I113" s="12" t="s">
        <v>0</v>
      </c>
      <c r="J113" s="11" t="s">
        <v>0</v>
      </c>
      <c r="K113" s="11">
        <v>79854.2</v>
      </c>
      <c r="L113" s="13">
        <v>6113.7000000000007</v>
      </c>
      <c r="M113" s="12">
        <v>96572.5</v>
      </c>
    </row>
    <row r="114" spans="1:13" x14ac:dyDescent="0.25">
      <c r="A114" s="60">
        <v>44564</v>
      </c>
      <c r="B114" s="12">
        <v>0</v>
      </c>
      <c r="C114" s="12">
        <v>7243.9000000000005</v>
      </c>
      <c r="D114" s="12">
        <v>0</v>
      </c>
      <c r="E114" s="12">
        <v>11</v>
      </c>
      <c r="F114" s="12">
        <v>2661.9</v>
      </c>
      <c r="G114" s="12"/>
      <c r="H114" s="12">
        <v>446.1</v>
      </c>
      <c r="I114" s="12">
        <v>0</v>
      </c>
      <c r="J114" s="11">
        <v>0</v>
      </c>
      <c r="K114" s="11">
        <v>82173</v>
      </c>
      <c r="L114" s="13">
        <v>6591.3</v>
      </c>
      <c r="M114" s="12">
        <f t="shared" ref="M114:M125" si="17">SUM(B114:L114)</f>
        <v>99127.2</v>
      </c>
    </row>
    <row r="115" spans="1:13" x14ac:dyDescent="0.25">
      <c r="A115" s="60">
        <v>44596</v>
      </c>
      <c r="B115" s="12">
        <v>0</v>
      </c>
      <c r="C115" s="12">
        <v>6371.3</v>
      </c>
      <c r="D115" s="12">
        <v>0</v>
      </c>
      <c r="E115" s="12">
        <v>11</v>
      </c>
      <c r="F115" s="12">
        <v>2572.1</v>
      </c>
      <c r="G115" s="12"/>
      <c r="H115" s="12">
        <v>77.8</v>
      </c>
      <c r="I115" s="12">
        <v>0</v>
      </c>
      <c r="J115" s="11">
        <v>0</v>
      </c>
      <c r="K115" s="11">
        <v>84453.8</v>
      </c>
      <c r="L115" s="13">
        <v>7435.8</v>
      </c>
      <c r="M115" s="12">
        <f t="shared" si="17"/>
        <v>100921.8</v>
      </c>
    </row>
    <row r="116" spans="1:13" x14ac:dyDescent="0.25">
      <c r="A116" s="60">
        <v>44628</v>
      </c>
      <c r="B116" s="12">
        <v>0</v>
      </c>
      <c r="C116" s="12">
        <v>6854.9999999999991</v>
      </c>
      <c r="D116" s="12">
        <v>0</v>
      </c>
      <c r="E116" s="12">
        <v>11</v>
      </c>
      <c r="F116" s="12">
        <v>2594.9</v>
      </c>
      <c r="G116" s="12"/>
      <c r="H116" s="12">
        <v>0</v>
      </c>
      <c r="I116" s="12">
        <v>0</v>
      </c>
      <c r="J116" s="11">
        <v>0</v>
      </c>
      <c r="K116" s="11">
        <v>85343.2</v>
      </c>
      <c r="L116" s="13">
        <v>7715.4</v>
      </c>
      <c r="M116" s="12">
        <f t="shared" si="17"/>
        <v>102519.49999999999</v>
      </c>
    </row>
    <row r="117" spans="1:13" x14ac:dyDescent="0.25">
      <c r="A117" s="60">
        <v>44660</v>
      </c>
      <c r="B117" s="12">
        <v>0</v>
      </c>
      <c r="C117" s="12">
        <v>6897.9</v>
      </c>
      <c r="D117" s="12">
        <v>0</v>
      </c>
      <c r="E117" s="12">
        <v>11</v>
      </c>
      <c r="F117" s="12">
        <v>2617</v>
      </c>
      <c r="G117" s="12"/>
      <c r="H117" s="12">
        <v>0</v>
      </c>
      <c r="I117" s="12">
        <v>0</v>
      </c>
      <c r="J117" s="11">
        <v>0</v>
      </c>
      <c r="K117" s="11">
        <v>87187.3</v>
      </c>
      <c r="L117" s="13">
        <v>7153</v>
      </c>
      <c r="M117" s="12">
        <f t="shared" si="17"/>
        <v>103866.2</v>
      </c>
    </row>
    <row r="118" spans="1:13" x14ac:dyDescent="0.25">
      <c r="A118" s="60">
        <v>44692</v>
      </c>
      <c r="B118" s="12">
        <v>0</v>
      </c>
      <c r="C118" s="12">
        <v>6806.5999999999995</v>
      </c>
      <c r="D118" s="12">
        <v>0</v>
      </c>
      <c r="E118" s="12">
        <v>11</v>
      </c>
      <c r="F118" s="12">
        <v>2639.8</v>
      </c>
      <c r="G118" s="12"/>
      <c r="H118" s="12">
        <v>0</v>
      </c>
      <c r="I118" s="12">
        <v>0</v>
      </c>
      <c r="J118" s="11">
        <v>0</v>
      </c>
      <c r="K118" s="11">
        <v>88114.4</v>
      </c>
      <c r="L118" s="13">
        <v>7652.9</v>
      </c>
      <c r="M118" s="12">
        <f t="shared" si="17"/>
        <v>105224.69999999998</v>
      </c>
    </row>
    <row r="119" spans="1:13" x14ac:dyDescent="0.25">
      <c r="A119" s="60">
        <v>44724</v>
      </c>
      <c r="B119" s="12">
        <v>0</v>
      </c>
      <c r="C119" s="12">
        <v>7556.4999999999991</v>
      </c>
      <c r="D119" s="12">
        <v>0</v>
      </c>
      <c r="E119" s="12">
        <v>11</v>
      </c>
      <c r="F119" s="12">
        <v>2629.6</v>
      </c>
      <c r="G119" s="12"/>
      <c r="H119" s="12">
        <v>0</v>
      </c>
      <c r="I119" s="12">
        <v>0</v>
      </c>
      <c r="J119" s="11">
        <v>0</v>
      </c>
      <c r="K119" s="11">
        <v>90818.200000000012</v>
      </c>
      <c r="L119" s="13">
        <v>7580.2000000000007</v>
      </c>
      <c r="M119" s="12">
        <f t="shared" si="17"/>
        <v>108595.50000000001</v>
      </c>
    </row>
    <row r="120" spans="1:13" x14ac:dyDescent="0.25">
      <c r="A120" s="60">
        <v>44756</v>
      </c>
      <c r="B120" s="12">
        <v>0</v>
      </c>
      <c r="C120" s="12">
        <v>7321.5</v>
      </c>
      <c r="D120" s="12">
        <v>0</v>
      </c>
      <c r="E120" s="12">
        <v>11</v>
      </c>
      <c r="F120" s="12">
        <v>2652</v>
      </c>
      <c r="G120" s="12"/>
      <c r="H120" s="12">
        <v>0</v>
      </c>
      <c r="I120" s="12">
        <v>0</v>
      </c>
      <c r="J120" s="11">
        <v>0</v>
      </c>
      <c r="K120" s="11">
        <v>90167.4</v>
      </c>
      <c r="L120" s="13">
        <v>7646.7</v>
      </c>
      <c r="M120" s="12">
        <f t="shared" si="17"/>
        <v>107798.59999999999</v>
      </c>
    </row>
    <row r="121" spans="1:13" x14ac:dyDescent="0.25">
      <c r="A121" s="60">
        <v>44788</v>
      </c>
      <c r="B121" s="12">
        <v>0</v>
      </c>
      <c r="C121" s="12">
        <v>6965.5</v>
      </c>
      <c r="D121" s="12">
        <v>0</v>
      </c>
      <c r="E121" s="12">
        <v>11</v>
      </c>
      <c r="F121" s="12">
        <v>2674.8</v>
      </c>
      <c r="G121" s="12"/>
      <c r="H121" s="12">
        <v>0</v>
      </c>
      <c r="I121" s="12">
        <v>0</v>
      </c>
      <c r="J121" s="11">
        <v>0</v>
      </c>
      <c r="K121" s="11">
        <v>92559.1</v>
      </c>
      <c r="L121" s="13">
        <v>7442.5</v>
      </c>
      <c r="M121" s="12">
        <f t="shared" si="17"/>
        <v>109652.90000000001</v>
      </c>
    </row>
    <row r="122" spans="1:13" x14ac:dyDescent="0.25">
      <c r="A122" s="60">
        <v>44820</v>
      </c>
      <c r="B122" s="12">
        <v>0</v>
      </c>
      <c r="C122" s="12">
        <v>23121.800000000003</v>
      </c>
      <c r="D122" s="12">
        <v>0</v>
      </c>
      <c r="E122" s="12">
        <v>11</v>
      </c>
      <c r="F122" s="12">
        <v>2696.8</v>
      </c>
      <c r="G122" s="12"/>
      <c r="H122" s="12">
        <v>0</v>
      </c>
      <c r="I122" s="12">
        <v>0</v>
      </c>
      <c r="J122" s="11">
        <v>0</v>
      </c>
      <c r="K122" s="11">
        <v>95059.9</v>
      </c>
      <c r="L122" s="13">
        <v>7726.6999999999989</v>
      </c>
      <c r="M122" s="12">
        <f t="shared" si="17"/>
        <v>128616.2</v>
      </c>
    </row>
    <row r="123" spans="1:13" s="77" customFormat="1" x14ac:dyDescent="0.25">
      <c r="A123" s="60">
        <v>44851</v>
      </c>
      <c r="B123" s="12">
        <v>0</v>
      </c>
      <c r="C123" s="12">
        <v>19225.300000000003</v>
      </c>
      <c r="D123" s="12">
        <v>0</v>
      </c>
      <c r="E123" s="12">
        <v>11</v>
      </c>
      <c r="F123" s="12">
        <v>2719.6</v>
      </c>
      <c r="G123" s="12"/>
      <c r="H123" s="12">
        <v>0</v>
      </c>
      <c r="I123" s="12">
        <v>0</v>
      </c>
      <c r="J123" s="11">
        <v>0</v>
      </c>
      <c r="K123" s="11">
        <v>98791.500000000015</v>
      </c>
      <c r="L123" s="13">
        <v>9189.2000000000007</v>
      </c>
      <c r="M123" s="12">
        <f t="shared" si="17"/>
        <v>129936.60000000002</v>
      </c>
    </row>
    <row r="124" spans="1:13" s="77" customFormat="1" x14ac:dyDescent="0.25">
      <c r="A124" s="60">
        <v>44883</v>
      </c>
      <c r="B124" s="12">
        <v>0</v>
      </c>
      <c r="C124" s="12">
        <v>13671.5</v>
      </c>
      <c r="D124" s="12">
        <v>0</v>
      </c>
      <c r="E124" s="12">
        <v>11</v>
      </c>
      <c r="F124" s="12">
        <v>2616.3000000000002</v>
      </c>
      <c r="G124" s="12"/>
      <c r="H124" s="12">
        <v>0</v>
      </c>
      <c r="I124" s="12">
        <v>0</v>
      </c>
      <c r="J124" s="11">
        <v>0</v>
      </c>
      <c r="K124" s="11">
        <v>107454.2</v>
      </c>
      <c r="L124" s="13">
        <v>8347.7000000000007</v>
      </c>
      <c r="M124" s="12">
        <f t="shared" si="17"/>
        <v>132100.70000000001</v>
      </c>
    </row>
    <row r="125" spans="1:13" s="77" customFormat="1" x14ac:dyDescent="0.25">
      <c r="A125" s="60">
        <v>44914</v>
      </c>
      <c r="B125" s="12">
        <v>0</v>
      </c>
      <c r="C125" s="12">
        <v>16494.400000000001</v>
      </c>
      <c r="D125" s="12">
        <v>0</v>
      </c>
      <c r="E125" s="12">
        <v>11</v>
      </c>
      <c r="F125" s="12">
        <v>2639.1</v>
      </c>
      <c r="G125" s="12"/>
      <c r="H125" s="12">
        <v>0</v>
      </c>
      <c r="I125" s="12">
        <v>0</v>
      </c>
      <c r="J125" s="11">
        <v>0</v>
      </c>
      <c r="K125" s="11">
        <v>109685.5</v>
      </c>
      <c r="L125" s="13">
        <v>16895.2</v>
      </c>
      <c r="M125" s="12">
        <f t="shared" si="17"/>
        <v>145725.20000000001</v>
      </c>
    </row>
    <row r="126" spans="1:13" s="77" customFormat="1" x14ac:dyDescent="0.25">
      <c r="A126" s="60">
        <v>44927</v>
      </c>
      <c r="B126" s="74">
        <v>0</v>
      </c>
      <c r="C126" s="74">
        <v>17372.099999999999</v>
      </c>
      <c r="D126" s="74">
        <v>0</v>
      </c>
      <c r="E126" s="74">
        <v>11</v>
      </c>
      <c r="F126" s="74">
        <v>3873.1000000000004</v>
      </c>
      <c r="G126" s="74"/>
      <c r="H126" s="74">
        <v>0</v>
      </c>
      <c r="I126" s="74">
        <v>0</v>
      </c>
      <c r="J126" s="75">
        <v>0</v>
      </c>
      <c r="K126" s="75">
        <v>109772.8</v>
      </c>
      <c r="L126" s="76">
        <v>17864</v>
      </c>
      <c r="M126" s="74">
        <v>148893</v>
      </c>
    </row>
    <row r="127" spans="1:13" s="77" customFormat="1" x14ac:dyDescent="0.25">
      <c r="A127" s="60">
        <v>44958</v>
      </c>
      <c r="B127" s="74">
        <v>0</v>
      </c>
      <c r="C127" s="74">
        <v>16828</v>
      </c>
      <c r="D127" s="74">
        <v>0</v>
      </c>
      <c r="E127" s="74">
        <v>11</v>
      </c>
      <c r="F127" s="74">
        <v>3753.6</v>
      </c>
      <c r="G127" s="74"/>
      <c r="H127" s="74">
        <v>0</v>
      </c>
      <c r="I127" s="74">
        <v>0</v>
      </c>
      <c r="J127" s="75">
        <v>0</v>
      </c>
      <c r="K127" s="75">
        <v>112409.9</v>
      </c>
      <c r="L127" s="76">
        <v>18435.5</v>
      </c>
      <c r="M127" s="74">
        <v>151438</v>
      </c>
    </row>
    <row r="128" spans="1:13" x14ac:dyDescent="0.25">
      <c r="A128" s="14" t="s">
        <v>37</v>
      </c>
      <c r="B128" s="14"/>
      <c r="C128" s="11"/>
      <c r="D128" s="11"/>
      <c r="E128" s="10"/>
      <c r="F128" s="11"/>
      <c r="G128" s="10"/>
      <c r="H128" s="10"/>
      <c r="I128" s="10"/>
      <c r="J128" s="10"/>
      <c r="K128" s="10"/>
      <c r="L128" s="10"/>
      <c r="M128" s="12"/>
    </row>
    <row r="129" spans="1:13" x14ac:dyDescent="0.25">
      <c r="A129" s="80" t="s">
        <v>42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2"/>
    </row>
    <row r="130" spans="1:13" x14ac:dyDescent="0.25">
      <c r="C130" s="37"/>
      <c r="D130" s="37"/>
      <c r="E130" s="38"/>
      <c r="F130" s="37"/>
      <c r="G130" s="38"/>
      <c r="H130" s="38"/>
      <c r="I130" s="38"/>
      <c r="J130" s="38"/>
      <c r="K130" s="38"/>
      <c r="L130" s="38"/>
      <c r="M130" s="39"/>
    </row>
  </sheetData>
  <mergeCells count="2">
    <mergeCell ref="A4:M4"/>
    <mergeCell ref="A129:M12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70"/>
  <sheetViews>
    <sheetView workbookViewId="0">
      <pane xSplit="1" ySplit="6" topLeftCell="K61" activePane="bottomRight" state="frozen"/>
      <selection pane="topRight" activeCell="B1" sqref="B1"/>
      <selection pane="bottomLeft" activeCell="A7" sqref="A7"/>
      <selection pane="bottomRight" activeCell="P56" sqref="P56"/>
    </sheetView>
  </sheetViews>
  <sheetFormatPr baseColWidth="10" defaultColWidth="11.5546875" defaultRowHeight="15.75" x14ac:dyDescent="0.25"/>
  <cols>
    <col min="1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8" width="25.21875" customWidth="1"/>
    <col min="9" max="9" width="18.21875" customWidth="1"/>
    <col min="10" max="10" width="18.109375" customWidth="1"/>
    <col min="11" max="11" width="11.6640625" bestFit="1" customWidth="1"/>
    <col min="12" max="12" width="14" customWidth="1"/>
    <col min="13" max="13" width="15.5546875" customWidth="1"/>
  </cols>
  <sheetData>
    <row r="1" spans="1:14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6"/>
      <c r="M1" s="42" t="s">
        <v>40</v>
      </c>
      <c r="N1" s="66"/>
    </row>
    <row r="2" spans="1:14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9"/>
      <c r="M2" s="65"/>
      <c r="N2" s="66"/>
    </row>
    <row r="3" spans="1:14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42"/>
      <c r="M3" s="42"/>
      <c r="N3" s="48"/>
    </row>
    <row r="4" spans="1:14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9"/>
    </row>
    <row r="5" spans="1:14" s="45" customFormat="1" ht="18.75" x14ac:dyDescent="0.3">
      <c r="A5" s="57"/>
      <c r="B5" s="68"/>
      <c r="C5" s="58"/>
      <c r="D5" s="58"/>
      <c r="E5" s="58"/>
      <c r="F5" s="58"/>
      <c r="G5" s="58"/>
      <c r="H5" s="73"/>
      <c r="I5" s="58"/>
      <c r="J5" s="58"/>
      <c r="K5" s="58"/>
      <c r="L5" s="58"/>
      <c r="M5" s="58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44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/>
      <c r="I7" s="12">
        <f>132.9</f>
        <v>132.9</v>
      </c>
      <c r="J7" s="12">
        <v>501</v>
      </c>
      <c r="K7" s="12">
        <v>26193</v>
      </c>
      <c r="L7" s="13">
        <v>4572.8</v>
      </c>
      <c r="M7" s="12">
        <f t="shared" ref="M7:M46" si="0">SUM(B7:L7)</f>
        <v>33646.5</v>
      </c>
    </row>
    <row r="8" spans="1:14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/>
      <c r="I8" s="12">
        <v>20.399999999999999</v>
      </c>
      <c r="J8" s="12">
        <v>591.6</v>
      </c>
      <c r="K8" s="12">
        <v>26739.8</v>
      </c>
      <c r="L8" s="13">
        <v>5003.8</v>
      </c>
      <c r="M8" s="12">
        <f t="shared" si="0"/>
        <v>35301.800000000003</v>
      </c>
    </row>
    <row r="9" spans="1:14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/>
      <c r="I9" s="12">
        <v>658.1</v>
      </c>
      <c r="J9" s="12">
        <v>573.40000000000009</v>
      </c>
      <c r="K9" s="12">
        <v>27800.400000000001</v>
      </c>
      <c r="L9" s="13">
        <v>4831.7</v>
      </c>
      <c r="M9" s="12">
        <f t="shared" si="0"/>
        <v>36773.199999999997</v>
      </c>
    </row>
    <row r="10" spans="1:14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/>
      <c r="I10" s="12">
        <v>615.9</v>
      </c>
      <c r="J10" s="12">
        <v>342.7</v>
      </c>
      <c r="K10" s="12">
        <v>29148.799999999999</v>
      </c>
      <c r="L10" s="13">
        <v>4364.6000000000004</v>
      </c>
      <c r="M10" s="12">
        <f t="shared" si="0"/>
        <v>37177.5</v>
      </c>
    </row>
    <row r="11" spans="1:14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/>
      <c r="I11" s="12">
        <v>47.5</v>
      </c>
      <c r="J11" s="12">
        <v>278.39999999999998</v>
      </c>
      <c r="K11" s="12">
        <v>30999.3</v>
      </c>
      <c r="L11" s="13">
        <v>4588.2</v>
      </c>
      <c r="M11" s="12">
        <f t="shared" si="0"/>
        <v>38052</v>
      </c>
    </row>
    <row r="12" spans="1:14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/>
      <c r="I12" s="12">
        <v>122</v>
      </c>
      <c r="J12" s="12">
        <v>776.4</v>
      </c>
      <c r="K12" s="12">
        <v>31950.800000000003</v>
      </c>
      <c r="L12" s="13">
        <v>4782</v>
      </c>
      <c r="M12" s="12">
        <f t="shared" si="0"/>
        <v>40166.300000000003</v>
      </c>
    </row>
    <row r="13" spans="1:14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/>
      <c r="I13" s="12">
        <v>725.9</v>
      </c>
      <c r="J13" s="12">
        <v>789</v>
      </c>
      <c r="K13" s="12">
        <v>32253.100000000002</v>
      </c>
      <c r="L13" s="13">
        <v>6104.5</v>
      </c>
      <c r="M13" s="12">
        <f t="shared" si="0"/>
        <v>42451.700000000004</v>
      </c>
    </row>
    <row r="14" spans="1:14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/>
      <c r="I14" s="12">
        <v>657</v>
      </c>
      <c r="J14" s="12">
        <v>763.49999999999989</v>
      </c>
      <c r="K14" s="12">
        <v>33755.4</v>
      </c>
      <c r="L14" s="13">
        <v>4972.1000000000004</v>
      </c>
      <c r="M14" s="12">
        <f t="shared" si="0"/>
        <v>43531.199999999997</v>
      </c>
    </row>
    <row r="15" spans="1:14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/>
      <c r="I15" s="12">
        <v>621.20000000000005</v>
      </c>
      <c r="J15" s="12">
        <v>641.29999999999995</v>
      </c>
      <c r="K15" s="12">
        <v>34937.1</v>
      </c>
      <c r="L15" s="13">
        <v>4329.5</v>
      </c>
      <c r="M15" s="12">
        <f t="shared" si="0"/>
        <v>44773.5</v>
      </c>
    </row>
    <row r="16" spans="1:14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/>
      <c r="I16" s="12">
        <v>579.79999999999995</v>
      </c>
      <c r="J16" s="12">
        <v>709.3</v>
      </c>
      <c r="K16" s="12">
        <v>37365</v>
      </c>
      <c r="L16" s="13">
        <v>4260.2</v>
      </c>
      <c r="M16" s="12">
        <f t="shared" si="0"/>
        <v>46448.5</v>
      </c>
    </row>
    <row r="17" spans="1:13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/>
      <c r="I17" s="12">
        <v>593.20000000000005</v>
      </c>
      <c r="J17" s="12">
        <v>734.3</v>
      </c>
      <c r="K17" s="12">
        <v>43690.1</v>
      </c>
      <c r="L17" s="13">
        <v>4830.7</v>
      </c>
      <c r="M17" s="12">
        <f t="shared" si="0"/>
        <v>54011.499999999993</v>
      </c>
    </row>
    <row r="18" spans="1:13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/>
      <c r="I18" s="12">
        <v>142.9</v>
      </c>
      <c r="J18" s="12">
        <v>920.59999999999991</v>
      </c>
      <c r="K18" s="12">
        <v>46586.3</v>
      </c>
      <c r="L18" s="13">
        <v>4986.5</v>
      </c>
      <c r="M18" s="12">
        <f t="shared" si="0"/>
        <v>56327.200000000004</v>
      </c>
    </row>
    <row r="19" spans="1:13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/>
      <c r="I19" s="12">
        <v>523.1</v>
      </c>
      <c r="J19" s="12">
        <v>616.49999999999989</v>
      </c>
      <c r="K19" s="12">
        <v>49347.199999999997</v>
      </c>
      <c r="L19" s="13">
        <v>5406.2</v>
      </c>
      <c r="M19" s="12">
        <f t="shared" si="0"/>
        <v>58342.299999999996</v>
      </c>
    </row>
    <row r="20" spans="1:13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/>
      <c r="I20" s="12">
        <v>465.5</v>
      </c>
      <c r="J20" s="12">
        <v>614.59999999999991</v>
      </c>
      <c r="K20" s="12">
        <v>52919.6</v>
      </c>
      <c r="L20" s="13">
        <v>4347.2000000000007</v>
      </c>
      <c r="M20" s="12">
        <f t="shared" si="0"/>
        <v>61229.3</v>
      </c>
    </row>
    <row r="21" spans="1:13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/>
      <c r="I21" s="12">
        <v>420.2</v>
      </c>
      <c r="J21" s="12">
        <v>996.59999999999991</v>
      </c>
      <c r="K21" s="12">
        <v>54875.100000000006</v>
      </c>
      <c r="L21" s="13">
        <v>4451.7000000000007</v>
      </c>
      <c r="M21" s="12">
        <f t="shared" si="0"/>
        <v>63090.200000000012</v>
      </c>
    </row>
    <row r="22" spans="1:13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/>
      <c r="I22" s="12">
        <v>261.8</v>
      </c>
      <c r="J22" s="12">
        <v>967.59999999999991</v>
      </c>
      <c r="K22" s="12">
        <v>56451.100000000006</v>
      </c>
      <c r="L22" s="13">
        <v>5218.8</v>
      </c>
      <c r="M22" s="12">
        <f t="shared" si="0"/>
        <v>64829.700000000012</v>
      </c>
    </row>
    <row r="23" spans="1:13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/>
      <c r="I23" s="12">
        <v>617.20000000000005</v>
      </c>
      <c r="J23" s="12">
        <v>946.8</v>
      </c>
      <c r="K23" s="12">
        <v>55968.2</v>
      </c>
      <c r="L23" s="13">
        <v>6412.8000000000011</v>
      </c>
      <c r="M23" s="12">
        <f t="shared" si="0"/>
        <v>66149.599999999991</v>
      </c>
    </row>
    <row r="24" spans="1:13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/>
      <c r="I24" s="12">
        <v>882.9</v>
      </c>
      <c r="J24" s="12">
        <v>915.39999999999986</v>
      </c>
      <c r="K24" s="12">
        <v>57089.3</v>
      </c>
      <c r="L24" s="13">
        <v>6110.6</v>
      </c>
      <c r="M24" s="12">
        <f t="shared" si="0"/>
        <v>68237.8</v>
      </c>
    </row>
    <row r="25" spans="1:13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/>
      <c r="I25" s="12">
        <v>779.4</v>
      </c>
      <c r="J25" s="12">
        <v>882.89999999999986</v>
      </c>
      <c r="K25" s="12">
        <v>60186.3</v>
      </c>
      <c r="L25" s="13">
        <v>6362.3</v>
      </c>
      <c r="M25" s="12">
        <f t="shared" si="0"/>
        <v>70220.3</v>
      </c>
    </row>
    <row r="26" spans="1:13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/>
      <c r="I26" s="12">
        <v>693.3</v>
      </c>
      <c r="J26" s="12">
        <v>839.19999999999982</v>
      </c>
      <c r="K26" s="12">
        <v>59250.000000000007</v>
      </c>
      <c r="L26" s="13">
        <v>5417.5</v>
      </c>
      <c r="M26" s="12">
        <f t="shared" si="0"/>
        <v>72232.400000000009</v>
      </c>
    </row>
    <row r="27" spans="1:13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/>
      <c r="I27" s="12">
        <v>659.3</v>
      </c>
      <c r="J27" s="12">
        <v>804.49999999999989</v>
      </c>
      <c r="K27" s="12">
        <v>61556.200000000012</v>
      </c>
      <c r="L27" s="13">
        <v>5974.5</v>
      </c>
      <c r="M27" s="12">
        <f t="shared" si="0"/>
        <v>72972.600000000006</v>
      </c>
    </row>
    <row r="28" spans="1:13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/>
      <c r="I28" s="12">
        <v>1041.2</v>
      </c>
      <c r="J28" s="12">
        <v>769.29999999999984</v>
      </c>
      <c r="K28" s="12">
        <v>63817.599999999999</v>
      </c>
      <c r="L28" s="13">
        <v>6176</v>
      </c>
      <c r="M28" s="12">
        <f t="shared" si="0"/>
        <v>75167.399999999994</v>
      </c>
    </row>
    <row r="29" spans="1:13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/>
      <c r="I29" s="12">
        <v>550.70000000000005</v>
      </c>
      <c r="J29" s="12">
        <v>605.4</v>
      </c>
      <c r="K29" s="12">
        <v>69742.100000000006</v>
      </c>
      <c r="L29" s="13">
        <v>6601.1</v>
      </c>
      <c r="M29" s="12">
        <f t="shared" si="0"/>
        <v>78715.600000000006</v>
      </c>
    </row>
    <row r="30" spans="1:13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/>
      <c r="I30" s="12">
        <v>609.79999999999995</v>
      </c>
      <c r="J30" s="12">
        <v>604.59999999999991</v>
      </c>
      <c r="K30" s="12">
        <v>73439.199999999997</v>
      </c>
      <c r="L30" s="13">
        <v>6708.5</v>
      </c>
      <c r="M30" s="12">
        <f t="shared" si="0"/>
        <v>83108.599999999991</v>
      </c>
    </row>
    <row r="31" spans="1:13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/>
      <c r="I31" s="12">
        <v>461.5</v>
      </c>
      <c r="J31" s="11">
        <v>602.99999999999989</v>
      </c>
      <c r="K31" s="11">
        <v>75716.200000000012</v>
      </c>
      <c r="L31" s="13">
        <v>7587.5</v>
      </c>
      <c r="M31" s="12">
        <f t="shared" si="0"/>
        <v>85755.1</v>
      </c>
    </row>
    <row r="32" spans="1:13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/>
      <c r="I32" s="12">
        <v>444.8</v>
      </c>
      <c r="J32" s="11">
        <v>601.79999999999995</v>
      </c>
      <c r="K32" s="11">
        <v>79629.900000000009</v>
      </c>
      <c r="L32" s="13">
        <v>8264.6000000000022</v>
      </c>
      <c r="M32" s="12">
        <f t="shared" si="0"/>
        <v>91056.400000000009</v>
      </c>
    </row>
    <row r="33" spans="1:13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/>
      <c r="I33" s="12">
        <v>401.1</v>
      </c>
      <c r="J33" s="11">
        <v>600.9</v>
      </c>
      <c r="K33" s="11">
        <v>84091.8</v>
      </c>
      <c r="L33" s="13">
        <v>8356.5</v>
      </c>
      <c r="M33" s="12">
        <f t="shared" si="0"/>
        <v>95946.5</v>
      </c>
    </row>
    <row r="34" spans="1:13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87468.6</v>
      </c>
      <c r="L34" s="13">
        <v>9064.2000000000007</v>
      </c>
      <c r="M34" s="12">
        <f t="shared" si="0"/>
        <v>101933</v>
      </c>
    </row>
    <row r="35" spans="1:13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87282.8</v>
      </c>
      <c r="L35" s="13">
        <v>10418.700000000001</v>
      </c>
      <c r="M35" s="12">
        <f t="shared" si="0"/>
        <v>102888.9</v>
      </c>
    </row>
    <row r="36" spans="1:13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86842</v>
      </c>
      <c r="L36" s="13">
        <v>10593.5</v>
      </c>
      <c r="M36" s="12">
        <f t="shared" si="0"/>
        <v>107256.3</v>
      </c>
    </row>
    <row r="37" spans="1:13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87471.799999999988</v>
      </c>
      <c r="L37" s="13">
        <v>10771.5</v>
      </c>
      <c r="M37" s="12">
        <f t="shared" si="0"/>
        <v>112549.09999999999</v>
      </c>
    </row>
    <row r="38" spans="1:13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/>
      <c r="I38" s="12" t="s">
        <v>0</v>
      </c>
      <c r="J38" s="11">
        <v>529</v>
      </c>
      <c r="K38" s="11">
        <v>86640.700000000012</v>
      </c>
      <c r="L38" s="13">
        <v>14206.4</v>
      </c>
      <c r="M38" s="12">
        <f t="shared" si="0"/>
        <v>119462</v>
      </c>
    </row>
    <row r="39" spans="1:13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/>
      <c r="I39" s="12" t="s">
        <v>0</v>
      </c>
      <c r="J39" s="11">
        <v>528.20000000000005</v>
      </c>
      <c r="K39" s="11">
        <v>90185.5</v>
      </c>
      <c r="L39" s="13">
        <v>17286</v>
      </c>
      <c r="M39" s="12">
        <f t="shared" si="0"/>
        <v>126871.1</v>
      </c>
    </row>
    <row r="40" spans="1:13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/>
      <c r="I40" s="12" t="s">
        <v>0</v>
      </c>
      <c r="J40" s="11">
        <v>507.1</v>
      </c>
      <c r="K40" s="11">
        <v>96470.1</v>
      </c>
      <c r="L40" s="13">
        <v>17272.400000000001</v>
      </c>
      <c r="M40" s="12">
        <f t="shared" si="0"/>
        <v>127629.80000000002</v>
      </c>
    </row>
    <row r="41" spans="1:13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/>
      <c r="I41" s="12" t="s">
        <v>0</v>
      </c>
      <c r="J41" s="11">
        <v>507.1</v>
      </c>
      <c r="K41" s="11">
        <v>98409.9</v>
      </c>
      <c r="L41" s="13">
        <v>18620.599999999999</v>
      </c>
      <c r="M41" s="12">
        <f t="shared" si="0"/>
        <v>134263.69999999998</v>
      </c>
    </row>
    <row r="42" spans="1:13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/>
      <c r="I42" s="12" t="s">
        <v>0</v>
      </c>
      <c r="J42" s="11">
        <v>507.1</v>
      </c>
      <c r="K42" s="11">
        <v>102322.1</v>
      </c>
      <c r="L42" s="13">
        <v>19061.099999999999</v>
      </c>
      <c r="M42" s="12">
        <f t="shared" si="0"/>
        <v>138205.80000000002</v>
      </c>
    </row>
    <row r="43" spans="1:13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/>
      <c r="I43" s="12" t="s">
        <v>0</v>
      </c>
      <c r="J43" s="11">
        <v>447.7</v>
      </c>
      <c r="K43" s="11">
        <v>100995.79999999999</v>
      </c>
      <c r="L43" s="13">
        <v>20915.400000000001</v>
      </c>
      <c r="M43" s="12">
        <f t="shared" si="0"/>
        <v>138601.59999999998</v>
      </c>
    </row>
    <row r="44" spans="1:13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/>
      <c r="I44" s="12" t="s">
        <v>0</v>
      </c>
      <c r="J44" s="11" t="s">
        <v>0</v>
      </c>
      <c r="K44" s="11">
        <v>105879.4</v>
      </c>
      <c r="L44" s="13">
        <v>20318.400000000001</v>
      </c>
      <c r="M44" s="12">
        <f t="shared" si="0"/>
        <v>144458.9</v>
      </c>
    </row>
    <row r="45" spans="1:13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/>
      <c r="I45" s="12" t="s">
        <v>0</v>
      </c>
      <c r="J45" s="11">
        <v>1006.9</v>
      </c>
      <c r="K45" s="11">
        <v>108527.6</v>
      </c>
      <c r="L45" s="13">
        <v>21300.800000000003</v>
      </c>
      <c r="M45" s="12">
        <f t="shared" si="0"/>
        <v>147659.79999999999</v>
      </c>
    </row>
    <row r="46" spans="1:13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/>
      <c r="I46" s="12" t="s">
        <v>0</v>
      </c>
      <c r="J46" s="11" t="s">
        <v>0</v>
      </c>
      <c r="K46" s="11">
        <v>110545.9</v>
      </c>
      <c r="L46" s="13">
        <v>21126.799999999999</v>
      </c>
      <c r="M46" s="12">
        <f t="shared" si="0"/>
        <v>151201.9</v>
      </c>
    </row>
    <row r="47" spans="1:13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/>
      <c r="I47" s="12" t="s">
        <v>0</v>
      </c>
      <c r="J47" s="11" t="s">
        <v>0</v>
      </c>
      <c r="K47" s="11">
        <v>113092.8</v>
      </c>
      <c r="L47" s="13">
        <v>22577.199999999997</v>
      </c>
      <c r="M47" s="12">
        <f t="shared" ref="M47:M50" si="1">SUM(B47:L47)</f>
        <v>155287.79999999999</v>
      </c>
    </row>
    <row r="48" spans="1:13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/>
      <c r="I48" s="12" t="s">
        <v>0</v>
      </c>
      <c r="J48" s="11" t="s">
        <v>0</v>
      </c>
      <c r="K48" s="11">
        <v>116258.50000000001</v>
      </c>
      <c r="L48" s="13">
        <v>23047.4</v>
      </c>
      <c r="M48" s="12">
        <f t="shared" si="1"/>
        <v>160230.9</v>
      </c>
    </row>
    <row r="49" spans="1:14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/>
      <c r="I49" s="12" t="s">
        <v>0</v>
      </c>
      <c r="J49" s="11" t="s">
        <v>0</v>
      </c>
      <c r="K49" s="11">
        <v>124702.39999999999</v>
      </c>
      <c r="L49" s="13">
        <v>23087</v>
      </c>
      <c r="M49" s="12">
        <f t="shared" si="1"/>
        <v>167100.29999999999</v>
      </c>
    </row>
    <row r="50" spans="1:14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/>
      <c r="I50" s="12" t="s">
        <v>0</v>
      </c>
      <c r="J50" s="11" t="s">
        <v>0</v>
      </c>
      <c r="K50" s="11">
        <v>127946.79999999999</v>
      </c>
      <c r="L50" s="13">
        <v>21544.6</v>
      </c>
      <c r="M50" s="12">
        <f t="shared" si="1"/>
        <v>167416.29999999999</v>
      </c>
    </row>
    <row r="51" spans="1:14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/>
      <c r="I51" s="12" t="s">
        <v>0</v>
      </c>
      <c r="J51" s="11" t="s">
        <v>0</v>
      </c>
      <c r="K51" s="11">
        <v>134656.50000000003</v>
      </c>
      <c r="L51" s="13">
        <v>22086</v>
      </c>
      <c r="M51" s="12">
        <f t="shared" ref="M51" si="2">SUM(B51:L51)</f>
        <v>176657.30000000005</v>
      </c>
    </row>
    <row r="52" spans="1:14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/>
      <c r="I52" s="12" t="s">
        <v>0</v>
      </c>
      <c r="J52" s="11" t="s">
        <v>0</v>
      </c>
      <c r="K52" s="11">
        <f>103842.3+209.2+37633.7</f>
        <v>141685.20000000001</v>
      </c>
      <c r="L52" s="13">
        <f>5430.7+15661.6</f>
        <v>21092.3</v>
      </c>
      <c r="M52" s="12">
        <f t="shared" ref="M52" si="3">SUM(B52:L52)</f>
        <v>183079.6</v>
      </c>
    </row>
    <row r="53" spans="1:14" s="27" customFormat="1" x14ac:dyDescent="0.25">
      <c r="A53" s="60">
        <v>43738</v>
      </c>
      <c r="B53" s="12" t="s">
        <v>0</v>
      </c>
      <c r="C53" s="12">
        <f>3873+4180.2</f>
        <v>8053.2</v>
      </c>
      <c r="D53" s="12">
        <v>4774.7999999999993</v>
      </c>
      <c r="E53" s="12">
        <v>11</v>
      </c>
      <c r="F53" s="12">
        <f>4137.8+33.9+3619.2</f>
        <v>7790.9</v>
      </c>
      <c r="G53" s="12"/>
      <c r="H53" s="12"/>
      <c r="I53" s="12" t="s">
        <v>0</v>
      </c>
      <c r="J53" s="11" t="s">
        <v>0</v>
      </c>
      <c r="K53" s="11">
        <f>110127.3+209.2+36089.9</f>
        <v>146426.4</v>
      </c>
      <c r="L53" s="13">
        <f>6052.2+17038</f>
        <v>23090.2</v>
      </c>
      <c r="M53" s="12">
        <f t="shared" ref="M53" si="4">SUM(B53:L53)</f>
        <v>190146.5</v>
      </c>
    </row>
    <row r="54" spans="1:14" s="27" customFormat="1" x14ac:dyDescent="0.25">
      <c r="A54" s="60">
        <v>43800</v>
      </c>
      <c r="B54" s="12"/>
      <c r="C54" s="12">
        <f>5090.1+4883.7</f>
        <v>9973.7999999999993</v>
      </c>
      <c r="D54" s="12">
        <v>4902.2</v>
      </c>
      <c r="E54" s="12">
        <v>11</v>
      </c>
      <c r="F54" s="12">
        <f>50.8+11819.8+3685.5</f>
        <v>15556.099999999999</v>
      </c>
      <c r="G54" s="12"/>
      <c r="H54" s="12"/>
      <c r="I54" s="12" t="s">
        <v>0</v>
      </c>
      <c r="J54" s="11" t="s">
        <v>0</v>
      </c>
      <c r="K54" s="11">
        <f>110736.2+209.2+37577.5</f>
        <v>148522.9</v>
      </c>
      <c r="L54" s="13">
        <f>5906.9+17480</f>
        <v>23386.9</v>
      </c>
      <c r="M54" s="12">
        <f t="shared" ref="M54" si="5">SUM(B54:L54)</f>
        <v>202352.9</v>
      </c>
    </row>
    <row r="55" spans="1:14" s="27" customFormat="1" x14ac:dyDescent="0.25">
      <c r="A55" s="60">
        <v>43921</v>
      </c>
      <c r="B55" s="12" t="s">
        <v>0</v>
      </c>
      <c r="C55" s="12">
        <f>4922.4+3985.9</f>
        <v>8908.2999999999993</v>
      </c>
      <c r="D55" s="12">
        <v>2697.5</v>
      </c>
      <c r="E55" s="12">
        <v>11</v>
      </c>
      <c r="F55" s="12">
        <f>0+14308.4+3073.8</f>
        <v>17382.2</v>
      </c>
      <c r="G55" s="12"/>
      <c r="H55" s="12"/>
      <c r="I55" s="12" t="s">
        <v>0</v>
      </c>
      <c r="J55" s="11" t="s">
        <v>0</v>
      </c>
      <c r="K55" s="11">
        <f>116111+209.2+39988.2</f>
        <v>156308.4</v>
      </c>
      <c r="L55" s="13">
        <f>6882+18870.2</f>
        <v>25752.2</v>
      </c>
      <c r="M55" s="12">
        <f t="shared" ref="M55" si="6">SUM(B55:L55)</f>
        <v>211059.6</v>
      </c>
    </row>
    <row r="56" spans="1:14" s="27" customFormat="1" x14ac:dyDescent="0.25">
      <c r="A56" s="60">
        <v>44012</v>
      </c>
      <c r="B56" s="12" t="s">
        <v>0</v>
      </c>
      <c r="C56" s="12">
        <f>6380.8+3899.9</f>
        <v>10280.700000000001</v>
      </c>
      <c r="D56" s="12">
        <v>1752.9</v>
      </c>
      <c r="E56" s="12">
        <v>11</v>
      </c>
      <c r="F56" s="12">
        <f>3152.5+14708.5+21.1</f>
        <v>17882.099999999999</v>
      </c>
      <c r="G56" s="12"/>
      <c r="H56" s="12"/>
      <c r="I56" s="12" t="s">
        <v>0</v>
      </c>
      <c r="J56" s="11" t="s">
        <v>0</v>
      </c>
      <c r="K56" s="11">
        <f>209.2+41960.7+126938.8</f>
        <v>169108.7</v>
      </c>
      <c r="L56" s="13">
        <f>6238.4+20241.7</f>
        <v>26480.1</v>
      </c>
      <c r="M56" s="12">
        <f t="shared" ref="M56" si="7">SUM(B56:L56)</f>
        <v>225515.50000000003</v>
      </c>
    </row>
    <row r="57" spans="1:14" s="27" customFormat="1" x14ac:dyDescent="0.25">
      <c r="A57" s="60">
        <v>44104</v>
      </c>
      <c r="B57" s="12" t="s">
        <v>0</v>
      </c>
      <c r="C57" s="12">
        <f>3996.5+4410.7</f>
        <v>8407.2000000000007</v>
      </c>
      <c r="D57" s="12">
        <v>11.4</v>
      </c>
      <c r="E57" s="12">
        <v>11</v>
      </c>
      <c r="F57" s="12">
        <f>3232.2+14913.5+42.1</f>
        <v>18187.8</v>
      </c>
      <c r="G57" s="12"/>
      <c r="H57" s="12"/>
      <c r="I57" s="12" t="s">
        <v>0</v>
      </c>
      <c r="J57" s="11" t="s">
        <v>0</v>
      </c>
      <c r="K57" s="11">
        <f>209.2+45187.6+145072.1</f>
        <v>190468.9</v>
      </c>
      <c r="L57" s="13">
        <f>6134.5+21060.7</f>
        <v>27195.200000000001</v>
      </c>
      <c r="M57" s="12">
        <f t="shared" ref="M57" si="8">SUM(B57:L57)</f>
        <v>244281.5</v>
      </c>
    </row>
    <row r="58" spans="1:14" s="27" customFormat="1" x14ac:dyDescent="0.25">
      <c r="A58" s="60">
        <v>44196</v>
      </c>
      <c r="B58" s="12" t="s">
        <v>0</v>
      </c>
      <c r="C58" s="12">
        <f>6904.2+3152.6</f>
        <v>10056.799999999999</v>
      </c>
      <c r="D58" s="12">
        <v>0</v>
      </c>
      <c r="E58" s="12">
        <v>11</v>
      </c>
      <c r="F58" s="12">
        <f>3186.1+14432.8+63.2</f>
        <v>17682.099999999999</v>
      </c>
      <c r="G58" s="12"/>
      <c r="H58" s="12"/>
      <c r="I58" s="12" t="s">
        <v>0</v>
      </c>
      <c r="J58" s="11" t="s">
        <v>0</v>
      </c>
      <c r="K58" s="11">
        <f>209.2+45845.1+157950.6</f>
        <v>204004.9</v>
      </c>
      <c r="L58" s="13">
        <f>5698.6+23022.5</f>
        <v>28721.1</v>
      </c>
      <c r="M58" s="12">
        <f t="shared" ref="M58" si="9">SUM(B58:L58)</f>
        <v>260475.9</v>
      </c>
    </row>
    <row r="59" spans="1:14" s="27" customFormat="1" x14ac:dyDescent="0.25">
      <c r="A59" s="60">
        <v>44286</v>
      </c>
      <c r="B59" s="12" t="s">
        <v>0</v>
      </c>
      <c r="C59" s="12">
        <v>8930</v>
      </c>
      <c r="D59" s="12">
        <v>10.4</v>
      </c>
      <c r="E59" s="12">
        <v>11</v>
      </c>
      <c r="F59" s="12">
        <v>16425.5</v>
      </c>
      <c r="G59" s="12"/>
      <c r="H59" s="12"/>
      <c r="I59" s="12" t="s">
        <v>0</v>
      </c>
      <c r="J59" s="11" t="s">
        <v>0</v>
      </c>
      <c r="K59" s="11">
        <v>218334.5</v>
      </c>
      <c r="L59" s="13">
        <v>32690.600000000002</v>
      </c>
      <c r="M59" s="12">
        <v>276402</v>
      </c>
    </row>
    <row r="60" spans="1:14" s="27" customFormat="1" x14ac:dyDescent="0.25">
      <c r="A60" s="60">
        <v>44377</v>
      </c>
      <c r="B60" s="12" t="s">
        <v>0</v>
      </c>
      <c r="C60" s="12">
        <v>14625</v>
      </c>
      <c r="D60" s="12">
        <v>10.4</v>
      </c>
      <c r="E60" s="12">
        <v>11</v>
      </c>
      <c r="F60" s="12">
        <v>17356.2</v>
      </c>
      <c r="G60" s="12"/>
      <c r="H60" s="12"/>
      <c r="I60" s="12" t="s">
        <v>0</v>
      </c>
      <c r="J60" s="11" t="s">
        <v>0</v>
      </c>
      <c r="K60" s="11">
        <v>243053.59999999998</v>
      </c>
      <c r="L60" s="13">
        <v>32183.899999999998</v>
      </c>
      <c r="M60" s="12">
        <v>307240.09999999998</v>
      </c>
    </row>
    <row r="61" spans="1:14" s="27" customFormat="1" x14ac:dyDescent="0.25">
      <c r="A61" s="60">
        <v>44440</v>
      </c>
      <c r="B61" s="12">
        <v>0</v>
      </c>
      <c r="C61" s="12">
        <v>7178.1</v>
      </c>
      <c r="D61" s="12">
        <v>0</v>
      </c>
      <c r="E61" s="12">
        <v>11</v>
      </c>
      <c r="F61" s="12">
        <v>2696.8</v>
      </c>
      <c r="G61" s="12"/>
      <c r="H61" s="12"/>
      <c r="I61" s="12" t="s">
        <v>0</v>
      </c>
      <c r="J61" s="11" t="s">
        <v>0</v>
      </c>
      <c r="K61" s="11">
        <v>76382.899999999994</v>
      </c>
      <c r="L61" s="13">
        <v>6176.3000000000011</v>
      </c>
      <c r="M61" s="12">
        <v>92445.099999999991</v>
      </c>
    </row>
    <row r="62" spans="1:14" s="27" customFormat="1" x14ac:dyDescent="0.25">
      <c r="A62" s="60">
        <v>44532</v>
      </c>
      <c r="B62" s="12">
        <v>0</v>
      </c>
      <c r="C62" s="12">
        <v>7954.5</v>
      </c>
      <c r="D62" s="12">
        <v>0</v>
      </c>
      <c r="E62" s="12">
        <v>11</v>
      </c>
      <c r="F62" s="12">
        <v>2639.1</v>
      </c>
      <c r="G62" s="12"/>
      <c r="H62" s="12"/>
      <c r="I62" s="12" t="s">
        <v>0</v>
      </c>
      <c r="J62" s="11" t="s">
        <v>0</v>
      </c>
      <c r="K62" s="11">
        <v>79854.2</v>
      </c>
      <c r="L62" s="13">
        <v>6113.7000000000007</v>
      </c>
      <c r="M62" s="12">
        <v>96572.5</v>
      </c>
    </row>
    <row r="63" spans="1:14" s="77" customFormat="1" x14ac:dyDescent="0.25">
      <c r="A63" s="60">
        <v>44624</v>
      </c>
      <c r="B63" s="74">
        <v>0</v>
      </c>
      <c r="C63" s="74">
        <v>6854.9999999999991</v>
      </c>
      <c r="D63" s="74">
        <v>0</v>
      </c>
      <c r="E63" s="74">
        <v>11</v>
      </c>
      <c r="F63" s="74">
        <v>2594.9</v>
      </c>
      <c r="G63" s="74"/>
      <c r="H63" s="74">
        <v>0</v>
      </c>
      <c r="I63" s="74" t="s">
        <v>0</v>
      </c>
      <c r="J63" s="75" t="s">
        <v>0</v>
      </c>
      <c r="K63" s="75">
        <v>85343.2</v>
      </c>
      <c r="L63" s="76">
        <v>7715.4</v>
      </c>
      <c r="M63" s="12">
        <v>102519.49999999999</v>
      </c>
      <c r="N63" s="27"/>
    </row>
    <row r="64" spans="1:14" s="77" customFormat="1" x14ac:dyDescent="0.25">
      <c r="A64" s="60">
        <v>44724</v>
      </c>
      <c r="B64" s="74">
        <v>0</v>
      </c>
      <c r="C64" s="74">
        <v>7556.4999999999991</v>
      </c>
      <c r="D64" s="74">
        <v>0</v>
      </c>
      <c r="E64" s="74">
        <v>11</v>
      </c>
      <c r="F64" s="74">
        <v>2629.6</v>
      </c>
      <c r="G64" s="74"/>
      <c r="H64" s="74">
        <v>0</v>
      </c>
      <c r="I64" s="74" t="s">
        <v>0</v>
      </c>
      <c r="J64" s="75" t="s">
        <v>0</v>
      </c>
      <c r="K64" s="75">
        <v>90818.200000000012</v>
      </c>
      <c r="L64" s="76">
        <v>7580.2000000000007</v>
      </c>
      <c r="M64" s="12">
        <v>108595.50000000001</v>
      </c>
    </row>
    <row r="65" spans="1:13" s="77" customFormat="1" x14ac:dyDescent="0.25">
      <c r="A65" s="60">
        <v>44820</v>
      </c>
      <c r="B65" s="74">
        <v>0</v>
      </c>
      <c r="C65" s="74">
        <v>23121.800000000003</v>
      </c>
      <c r="D65" s="74">
        <v>0</v>
      </c>
      <c r="E65" s="74">
        <v>11</v>
      </c>
      <c r="F65" s="74">
        <v>2696.8</v>
      </c>
      <c r="G65" s="74"/>
      <c r="H65" s="74">
        <v>0</v>
      </c>
      <c r="I65" s="74" t="s">
        <v>0</v>
      </c>
      <c r="J65" s="75" t="s">
        <v>0</v>
      </c>
      <c r="K65" s="75">
        <v>95059.9</v>
      </c>
      <c r="L65" s="76">
        <v>7726.6999999999989</v>
      </c>
      <c r="M65" s="12">
        <v>128616.2</v>
      </c>
    </row>
    <row r="66" spans="1:13" s="77" customFormat="1" x14ac:dyDescent="0.25">
      <c r="A66" s="60">
        <v>44912</v>
      </c>
      <c r="B66" s="74">
        <v>0</v>
      </c>
      <c r="C66" s="74">
        <v>16494.400000000001</v>
      </c>
      <c r="D66" s="74">
        <v>0</v>
      </c>
      <c r="E66" s="74">
        <v>11</v>
      </c>
      <c r="F66" s="74">
        <v>2639.1</v>
      </c>
      <c r="G66" s="74"/>
      <c r="H66" s="74">
        <v>0</v>
      </c>
      <c r="I66" s="74">
        <v>0</v>
      </c>
      <c r="J66" s="75">
        <v>0</v>
      </c>
      <c r="K66" s="75">
        <v>109685.5</v>
      </c>
      <c r="L66" s="76">
        <v>16895.2</v>
      </c>
      <c r="M66" s="12">
        <v>145725.20000000001</v>
      </c>
    </row>
    <row r="67" spans="1:13" s="27" customFormat="1" x14ac:dyDescent="0.25">
      <c r="A67" s="14" t="s">
        <v>37</v>
      </c>
      <c r="B67" s="14"/>
      <c r="C67" s="11"/>
      <c r="D67" s="11"/>
      <c r="E67" s="10"/>
      <c r="F67" s="11"/>
      <c r="G67" s="10"/>
      <c r="H67" s="10"/>
      <c r="I67" s="10"/>
      <c r="J67" s="10"/>
      <c r="K67" s="10"/>
      <c r="L67" s="10"/>
      <c r="M67" s="12"/>
    </row>
    <row r="68" spans="1:13" s="27" customFormat="1" x14ac:dyDescent="0.25">
      <c r="A68" s="80" t="s">
        <v>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</row>
    <row r="69" spans="1:13" s="27" customFormat="1" x14ac:dyDescent="0.25">
      <c r="C69" s="37"/>
      <c r="D69" s="37"/>
      <c r="E69" s="38"/>
      <c r="F69" s="37"/>
      <c r="G69" s="38"/>
      <c r="H69" s="38"/>
      <c r="I69" s="38"/>
      <c r="J69" s="38"/>
      <c r="K69" s="38"/>
      <c r="L69" s="38"/>
      <c r="M69" s="39"/>
    </row>
    <row r="70" spans="1:13" s="27" customFormat="1" x14ac:dyDescent="0.25"/>
  </sheetData>
  <mergeCells count="2">
    <mergeCell ref="A4:M4"/>
    <mergeCell ref="A68:M6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5"/>
  <sheetViews>
    <sheetView tabSelected="1" workbookViewId="0">
      <pane xSplit="1" ySplit="6" topLeftCell="J13" activePane="bottomRight" state="frozen"/>
      <selection pane="topRight" activeCell="B1" sqref="B1"/>
      <selection pane="bottomLeft" activeCell="A7" sqref="A7"/>
      <selection pane="bottomRight" activeCell="O18" sqref="O18"/>
    </sheetView>
  </sheetViews>
  <sheetFormatPr baseColWidth="10" defaultColWidth="11.5546875" defaultRowHeight="15.75" x14ac:dyDescent="0.25"/>
  <cols>
    <col min="1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40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53">
        <v>2019</v>
      </c>
      <c r="B18" s="12"/>
      <c r="C18" s="12">
        <f>5090.1+4883.7</f>
        <v>9973.7999999999993</v>
      </c>
      <c r="D18" s="12">
        <v>4902.2</v>
      </c>
      <c r="E18" s="12">
        <v>11</v>
      </c>
      <c r="F18" s="12">
        <f>50.8+11819.8+3685.5</f>
        <v>15556.099999999999</v>
      </c>
      <c r="G18" s="12"/>
      <c r="H18" s="12" t="s">
        <v>0</v>
      </c>
      <c r="I18" s="11" t="s">
        <v>0</v>
      </c>
      <c r="J18" s="11">
        <f>110736.2+209.2+37577.5</f>
        <v>148522.9</v>
      </c>
      <c r="K18" s="13">
        <f>5906.9+17480</f>
        <v>23386.9</v>
      </c>
      <c r="L18" s="12">
        <f t="shared" ref="L18" si="2">SUM(B18:K18)</f>
        <v>202352.9</v>
      </c>
    </row>
    <row r="19" spans="1:12" s="27" customFormat="1" x14ac:dyDescent="0.25">
      <c r="A19" s="53">
        <v>2020</v>
      </c>
      <c r="B19" s="12" t="s">
        <v>0</v>
      </c>
      <c r="C19" s="12">
        <f>6904.2+3152.6</f>
        <v>10056.799999999999</v>
      </c>
      <c r="D19" s="12">
        <v>0</v>
      </c>
      <c r="E19" s="12">
        <v>11</v>
      </c>
      <c r="F19" s="12">
        <f>3186.1+14432.8+63.2</f>
        <v>17682.099999999999</v>
      </c>
      <c r="G19" s="12"/>
      <c r="H19" s="12" t="s">
        <v>0</v>
      </c>
      <c r="I19" s="11" t="s">
        <v>0</v>
      </c>
      <c r="J19" s="11">
        <f>209.2+45845.1+157950.6</f>
        <v>204004.9</v>
      </c>
      <c r="K19" s="13">
        <f>5698.6+23022.5</f>
        <v>28721.1</v>
      </c>
      <c r="L19" s="12">
        <f t="shared" ref="L19" si="3">SUM(B19:K19)</f>
        <v>260475.9</v>
      </c>
    </row>
    <row r="20" spans="1:12" s="27" customFormat="1" x14ac:dyDescent="0.25">
      <c r="A20" s="53">
        <v>2021</v>
      </c>
      <c r="B20" s="12">
        <v>0</v>
      </c>
      <c r="C20" s="12">
        <v>7954.5</v>
      </c>
      <c r="D20" s="12">
        <v>0</v>
      </c>
      <c r="E20" s="12">
        <v>11</v>
      </c>
      <c r="F20" s="12">
        <v>2639.1</v>
      </c>
      <c r="G20" s="12"/>
      <c r="H20" s="12"/>
      <c r="I20" s="11" t="s">
        <v>0</v>
      </c>
      <c r="J20" s="11">
        <v>79854.2</v>
      </c>
      <c r="K20" s="13">
        <v>6113.7000000000007</v>
      </c>
      <c r="L20" s="12">
        <v>96572.5</v>
      </c>
    </row>
    <row r="21" spans="1:12" s="27" customFormat="1" x14ac:dyDescent="0.25">
      <c r="A21" s="53">
        <v>2022</v>
      </c>
      <c r="B21" s="12">
        <v>0</v>
      </c>
      <c r="C21" s="12">
        <v>16494.400000000001</v>
      </c>
      <c r="D21" s="12">
        <v>0</v>
      </c>
      <c r="E21" s="12">
        <v>11</v>
      </c>
      <c r="F21" s="12">
        <v>2639.1</v>
      </c>
      <c r="G21" s="12"/>
      <c r="H21" s="12">
        <v>0</v>
      </c>
      <c r="I21" s="11">
        <v>0</v>
      </c>
      <c r="J21" s="11">
        <v>109685.5</v>
      </c>
      <c r="K21" s="13">
        <v>16895.2</v>
      </c>
      <c r="L21" s="12">
        <v>145725.20000000001</v>
      </c>
    </row>
    <row r="22" spans="1:12" s="27" customFormat="1" x14ac:dyDescent="0.25">
      <c r="A22" s="14" t="s">
        <v>37</v>
      </c>
      <c r="B22" s="14"/>
      <c r="C22" s="11"/>
      <c r="D22" s="11"/>
      <c r="E22" s="10"/>
      <c r="F22" s="11"/>
      <c r="G22" s="10"/>
      <c r="H22" s="10"/>
      <c r="I22" s="10"/>
      <c r="J22" s="10"/>
      <c r="K22" s="10"/>
      <c r="L22" s="12"/>
    </row>
    <row r="23" spans="1:12" s="27" customFormat="1" x14ac:dyDescent="0.25">
      <c r="A23" s="80" t="s">
        <v>42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s="27" customFormat="1" x14ac:dyDescent="0.25">
      <c r="C24" s="37"/>
      <c r="D24" s="37"/>
      <c r="E24" s="38"/>
      <c r="F24" s="37"/>
      <c r="G24" s="38"/>
      <c r="H24" s="38"/>
      <c r="I24" s="38"/>
      <c r="J24" s="38"/>
      <c r="K24" s="38"/>
      <c r="L24" s="39"/>
    </row>
    <row r="25" spans="1:12" s="27" customFormat="1" x14ac:dyDescent="0.25"/>
  </sheetData>
  <mergeCells count="2">
    <mergeCell ref="A4:L4"/>
    <mergeCell ref="A23:L23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2015-01-02T06:10:35Z</cp:lastPrinted>
  <dcterms:created xsi:type="dcterms:W3CDTF">2000-09-13T06:00:01Z</dcterms:created>
  <dcterms:modified xsi:type="dcterms:W3CDTF">2023-04-10T14:19:17Z</dcterms:modified>
</cp:coreProperties>
</file>