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I59" i="5" l="1"/>
  <c r="H59" i="5"/>
  <c r="G59" i="5"/>
  <c r="F59" i="5"/>
  <c r="E59" i="5"/>
  <c r="D59" i="5"/>
  <c r="B59" i="5"/>
  <c r="H165" i="4"/>
  <c r="G165" i="4"/>
  <c r="F165" i="4"/>
  <c r="E165" i="4"/>
  <c r="D165" i="4"/>
  <c r="B165" i="4"/>
  <c r="I165" i="4" s="1"/>
  <c r="I164" i="4"/>
  <c r="H164" i="4"/>
  <c r="G164" i="4"/>
  <c r="F164" i="4"/>
  <c r="E164" i="4"/>
  <c r="D164" i="4"/>
  <c r="B164" i="4"/>
  <c r="I163" i="4"/>
  <c r="H163" i="4"/>
  <c r="G163" i="4"/>
  <c r="F163" i="4"/>
  <c r="E163" i="4"/>
  <c r="D163" i="4"/>
  <c r="B163" i="4"/>
  <c r="I19" i="6" l="1"/>
  <c r="H19" i="6"/>
  <c r="G19" i="6"/>
  <c r="F19" i="6"/>
  <c r="E19" i="6"/>
  <c r="D19" i="6"/>
  <c r="B19" i="6"/>
  <c r="I58" i="5"/>
  <c r="H58" i="5"/>
  <c r="G58" i="5"/>
  <c r="F58" i="5"/>
  <c r="E58" i="5"/>
  <c r="D58" i="5"/>
  <c r="B58" i="5"/>
  <c r="H162" i="4"/>
  <c r="G162" i="4"/>
  <c r="F162" i="4"/>
  <c r="E162" i="4"/>
  <c r="D162" i="4"/>
  <c r="B162" i="4"/>
  <c r="I162" i="4" s="1"/>
  <c r="I161" i="4"/>
  <c r="H161" i="4"/>
  <c r="G161" i="4"/>
  <c r="F161" i="4"/>
  <c r="E161" i="4"/>
  <c r="D161" i="4"/>
  <c r="B161" i="4"/>
  <c r="I160" i="4"/>
  <c r="H160" i="4"/>
  <c r="G160" i="4"/>
  <c r="F160" i="4"/>
  <c r="E160" i="4"/>
  <c r="D160" i="4"/>
  <c r="B160" i="4"/>
  <c r="H57" i="5" l="1"/>
  <c r="G57" i="5"/>
  <c r="F57" i="5"/>
  <c r="E57" i="5"/>
  <c r="D57" i="5"/>
  <c r="B57" i="5"/>
  <c r="I57" i="5" s="1"/>
  <c r="H159" i="4"/>
  <c r="G159" i="4"/>
  <c r="F159" i="4"/>
  <c r="E159" i="4"/>
  <c r="D159" i="4"/>
  <c r="B159" i="4"/>
  <c r="I159" i="4" s="1"/>
  <c r="H158" i="4" l="1"/>
  <c r="G158" i="4"/>
  <c r="F158" i="4"/>
  <c r="E158" i="4"/>
  <c r="D158" i="4"/>
  <c r="B158" i="4"/>
  <c r="I158" i="4" s="1"/>
  <c r="H157" i="4"/>
  <c r="I157" i="4" s="1"/>
  <c r="G157" i="4"/>
  <c r="F157" i="4"/>
  <c r="E157" i="4"/>
  <c r="D157" i="4"/>
  <c r="B157" i="4"/>
  <c r="H56" i="5" l="1"/>
  <c r="G56" i="5"/>
  <c r="F56" i="5"/>
  <c r="E56" i="5"/>
  <c r="D56" i="5"/>
  <c r="B56" i="5"/>
  <c r="I56" i="5" s="1"/>
  <c r="I156" i="4"/>
  <c r="H156" i="4"/>
  <c r="G156" i="4"/>
  <c r="F156" i="4"/>
  <c r="E156" i="4"/>
  <c r="D156" i="4"/>
  <c r="B156" i="4"/>
  <c r="H155" i="4" l="1"/>
  <c r="G155" i="4"/>
  <c r="F155" i="4"/>
  <c r="E155" i="4"/>
  <c r="D155" i="4"/>
  <c r="B155" i="4"/>
  <c r="I155" i="4" s="1"/>
  <c r="H154" i="4" l="1"/>
  <c r="G154" i="4"/>
  <c r="F154" i="4"/>
  <c r="E154" i="4"/>
  <c r="D154" i="4"/>
  <c r="B154" i="4"/>
  <c r="I154" i="4" s="1"/>
  <c r="H55" i="5" l="1"/>
  <c r="I55" i="5" s="1"/>
  <c r="G55" i="5"/>
  <c r="F55" i="5"/>
  <c r="E55" i="5"/>
  <c r="D55" i="5"/>
  <c r="B55" i="5"/>
  <c r="H153" i="4"/>
  <c r="G153" i="4"/>
  <c r="F153" i="4"/>
  <c r="E153" i="4"/>
  <c r="D153" i="4"/>
  <c r="B153" i="4"/>
  <c r="I153" i="4" l="1"/>
  <c r="H152" i="4"/>
  <c r="G152" i="4"/>
  <c r="F152" i="4"/>
  <c r="E152" i="4"/>
  <c r="D152" i="4"/>
  <c r="B152" i="4"/>
  <c r="I152" i="4" l="1"/>
  <c r="H151" i="4"/>
  <c r="G151" i="4"/>
  <c r="F151" i="4"/>
  <c r="E151" i="4"/>
  <c r="D151" i="4"/>
  <c r="B151" i="4"/>
  <c r="I151" i="4" l="1"/>
  <c r="I18" i="6" l="1"/>
  <c r="H18" i="6"/>
  <c r="G18" i="6"/>
  <c r="F18" i="6"/>
  <c r="E18" i="6"/>
  <c r="D18" i="6"/>
  <c r="B18" i="6"/>
  <c r="I54" i="5"/>
  <c r="H54" i="5"/>
  <c r="G54" i="5"/>
  <c r="F54" i="5"/>
  <c r="E54" i="5"/>
  <c r="D54" i="5"/>
  <c r="B54" i="5"/>
  <c r="H53" i="5"/>
  <c r="G53" i="5"/>
  <c r="F53" i="5"/>
  <c r="E53" i="5"/>
  <c r="D53" i="5"/>
  <c r="B53" i="5"/>
  <c r="H150" i="4"/>
  <c r="G150" i="4"/>
  <c r="F150" i="4"/>
  <c r="E150" i="4"/>
  <c r="D150" i="4"/>
  <c r="B150" i="4"/>
  <c r="I150" i="4" l="1"/>
  <c r="I53" i="5"/>
  <c r="H149" i="4" l="1"/>
  <c r="G149" i="4"/>
  <c r="F149" i="4"/>
  <c r="E149" i="4"/>
  <c r="D149" i="4"/>
  <c r="B149" i="4"/>
  <c r="I149" i="4" l="1"/>
  <c r="H148" i="4"/>
  <c r="G148" i="4"/>
  <c r="F148" i="4"/>
  <c r="E148" i="4"/>
  <c r="D148" i="4"/>
  <c r="B148" i="4"/>
  <c r="I148" i="4" s="1"/>
  <c r="H147" i="4" l="1"/>
  <c r="G147" i="4"/>
  <c r="F147" i="4"/>
  <c r="E147" i="4"/>
  <c r="D147" i="4"/>
  <c r="B147" i="4"/>
  <c r="I147" i="4" l="1"/>
  <c r="H146" i="4"/>
  <c r="G146" i="4"/>
  <c r="F146" i="4"/>
  <c r="E146" i="4"/>
  <c r="D146" i="4"/>
  <c r="B146" i="4"/>
  <c r="I146" i="4" l="1"/>
  <c r="H145" i="4"/>
  <c r="G145" i="4"/>
  <c r="F145" i="4"/>
  <c r="E145" i="4"/>
  <c r="D145" i="4"/>
  <c r="B145" i="4"/>
  <c r="I145" i="4" s="1"/>
  <c r="H52" i="5" l="1"/>
  <c r="G52" i="5"/>
  <c r="F52" i="5"/>
  <c r="E52" i="5"/>
  <c r="D52" i="5"/>
  <c r="B52" i="5"/>
  <c r="H144" i="4"/>
  <c r="G144" i="4"/>
  <c r="F144" i="4"/>
  <c r="E144" i="4"/>
  <c r="D144" i="4"/>
  <c r="B144" i="4"/>
  <c r="H143" i="4"/>
  <c r="G143" i="4"/>
  <c r="F143" i="4"/>
  <c r="E143" i="4"/>
  <c r="D143" i="4"/>
  <c r="B143" i="4"/>
  <c r="I144" i="4" l="1"/>
  <c r="I143" i="4"/>
  <c r="I52" i="5"/>
  <c r="H142" i="4"/>
  <c r="G142" i="4"/>
  <c r="F142" i="4"/>
  <c r="E142" i="4"/>
  <c r="D142" i="4"/>
  <c r="B142" i="4"/>
  <c r="I142" i="4" l="1"/>
  <c r="H17" i="6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128" i="4" l="1"/>
  <c r="I132" i="4"/>
  <c r="I133" i="4"/>
  <c r="I138" i="4"/>
  <c r="I17" i="6"/>
  <c r="I48" i="5"/>
  <c r="I49" i="5"/>
  <c r="I47" i="5"/>
  <c r="I50" i="5"/>
  <c r="I51" i="5"/>
  <c r="I139" i="4"/>
  <c r="I134" i="4"/>
  <c r="I130" i="4"/>
  <c r="I135" i="4"/>
  <c r="I141" i="4"/>
  <c r="I131" i="4"/>
  <c r="I129" i="4"/>
  <c r="I127" i="4"/>
  <c r="I137" i="4"/>
  <c r="I136" i="4"/>
  <c r="I140" i="4"/>
  <c r="I46" i="5" l="1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I10" i="4" l="1"/>
  <c r="I14" i="4"/>
  <c r="I18" i="4"/>
  <c r="I17" i="4"/>
  <c r="I15" i="4"/>
  <c r="I7" i="4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<sst xmlns="http://schemas.openxmlformats.org/spreadsheetml/2006/main" count="245" uniqueCount="39">
  <si>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</si>
  <si>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</si>
  <si>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Source : Compilé sur base des données des établissements financiers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</si>
  <si>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</si>
  <si>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</si>
  <si>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</si>
  <si>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</si>
  <si>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</si>
  <si>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</si>
  <si>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</si>
  <si>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</si>
  <si>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</si>
  <si>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</si>
  <si>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</si>
  <si>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</si>
  <si>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</si>
  <si>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</si>
  <si>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</si>
  <si>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</si>
  <si>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</si>
  <si>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</si>
  <si>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</si>
  <si>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</si>
  <si>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</si>
  <si>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</si>
  <si>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</si>
  <si>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</si>
  <si>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</si>
  <si>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</si>
  <si>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</si>
  <si>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</si>
  <si>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</si>
  <si>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</si>
  <si>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</si>
  <si>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</si>
  <si>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</si>
  <si>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</si>
  <si>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2020</t>
  </si>
  <si>
    <t>Q1-2021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</si>
</sst>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abSelected="1" topLeftCell="D1" workbookViewId="0">
      <selection activeCell="E12" sqref="E12:E14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27</v>
      </c>
    </row>
    <row r="3" spans="2:5" x14ac:dyDescent="0.25">
      <c r="B3" s="20" t="s">
        <v>28</v>
      </c>
      <c r="C3"/>
    </row>
    <row r="4" spans="2:5" x14ac:dyDescent="0.25">
      <c r="B4" s="20" t="s">
        <v>29</v>
      </c>
    </row>
    <row r="5" spans="2:5" x14ac:dyDescent="0.25">
      <c r="B5" s="20" t="s">
        <v>30</v>
      </c>
    </row>
    <row r="7" spans="2:5" ht="18.75" x14ac:dyDescent="0.3">
      <c r="B7" s="4" t="s">
        <v>3</v>
      </c>
    </row>
    <row r="8" spans="2:5" ht="18.75" x14ac:dyDescent="0.3">
      <c r="B8" s="6" t="s">
        <v>18</v>
      </c>
    </row>
    <row r="10" spans="2:5" x14ac:dyDescent="0.25">
      <c r="B10" s="5" t="s">
        <v>4</v>
      </c>
    </row>
    <row r="11" spans="2:5" ht="16.5" thickBot="1" x14ac:dyDescent="0.3">
      <c r="B11" s="7" t="s">
        <v>5</v>
      </c>
      <c r="C11" s="7" t="s">
        <v>6</v>
      </c>
      <c r="D11" s="7" t="s">
        <v>7</v>
      </c>
      <c r="E11" s="7" t="s">
        <v>34</v>
      </c>
    </row>
    <row r="12" spans="2:5" x14ac:dyDescent="0.25">
      <c r="B12" s="8" t="s">
        <v>8</v>
      </c>
      <c r="C12" s="9" t="s">
        <v>16</v>
      </c>
      <c r="D12" s="9" t="s">
        <v>8</v>
      </c>
      <c r="E12" s="10">
        <v>44286</v>
      </c>
    </row>
    <row r="13" spans="2:5" x14ac:dyDescent="0.25">
      <c r="B13" s="8" t="s">
        <v>9</v>
      </c>
      <c r="C13" s="9" t="s">
        <v>16</v>
      </c>
      <c r="D13" s="9" t="s">
        <v>9</v>
      </c>
      <c r="E13" s="11" t="s">
        <v>38</v>
      </c>
    </row>
    <row r="14" spans="2:5" x14ac:dyDescent="0.25">
      <c r="B14" s="8" t="s">
        <v>10</v>
      </c>
      <c r="C14" s="9" t="s">
        <v>16</v>
      </c>
      <c r="D14" s="9" t="s">
        <v>10</v>
      </c>
      <c r="E14" s="12" t="s">
        <v>37</v>
      </c>
    </row>
    <row r="16" spans="2:5" x14ac:dyDescent="0.25">
      <c r="B16" s="5" t="s">
        <v>11</v>
      </c>
      <c r="C16" s="13"/>
    </row>
    <row r="17" spans="2:3" x14ac:dyDescent="0.25">
      <c r="B17" s="5" t="s">
        <v>12</v>
      </c>
      <c r="C17" s="13"/>
    </row>
    <row r="19" spans="2:3" x14ac:dyDescent="0.25">
      <c r="B19" s="5" t="s">
        <v>13</v>
      </c>
      <c r="C19" s="5" t="s">
        <v>17</v>
      </c>
    </row>
    <row r="20" spans="2:3" x14ac:dyDescent="0.25">
      <c r="B20" s="5" t="s">
        <v>14</v>
      </c>
      <c r="C20" s="14" t="s">
        <v>15</v>
      </c>
    </row>
    <row r="23" spans="2:3" ht="31.5" x14ac:dyDescent="0.25">
      <c r="B23" s="50" t="s">
        <v>35</v>
      </c>
    </row>
    <row r="24" spans="2:3" x14ac:dyDescent="0.25">
      <c r="B24" s="48" t="s">
        <v>19</v>
      </c>
      <c r="C24" s="15"/>
    </row>
    <row r="25" spans="2:3" x14ac:dyDescent="0.25">
      <c r="B25" s="48" t="s">
        <v>20</v>
      </c>
      <c r="C25" s="16"/>
    </row>
    <row r="26" spans="2:3" x14ac:dyDescent="0.25">
      <c r="B26" s="49" t="s">
        <v>21</v>
      </c>
      <c r="C26" s="1"/>
    </row>
    <row r="27" spans="2:3" x14ac:dyDescent="0.25">
      <c r="B27" s="49" t="s">
        <v>22</v>
      </c>
      <c r="C27" s="15"/>
    </row>
    <row r="28" spans="2:3" x14ac:dyDescent="0.25">
      <c r="B28" s="49" t="s">
        <v>23</v>
      </c>
      <c r="C28" s="2"/>
    </row>
    <row r="29" spans="2:3" x14ac:dyDescent="0.25">
      <c r="B29" s="49" t="s">
        <v>24</v>
      </c>
      <c r="C29" s="2"/>
    </row>
    <row r="30" spans="2:3" x14ac:dyDescent="0.25">
      <c r="B30" s="49" t="s">
        <v>25</v>
      </c>
      <c r="C30" s="18"/>
    </row>
    <row r="31" spans="2:3" x14ac:dyDescent="0.25">
      <c r="B31" s="48" t="s">
        <v>26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67"/>
  <sheetViews>
    <sheetView workbookViewId="0">
      <pane xSplit="1" ySplit="6" topLeftCell="I159" activePane="bottomRight" state="frozen"/>
      <selection pane="topRight" activeCell="B1" sqref="B1"/>
      <selection pane="bottomLeft" activeCell="A7" sqref="A7"/>
      <selection pane="bottomRight" activeCell="I168" sqref="I168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2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f>1526.2+2095.9</f>
        <v>3622.1000000000004</v>
      </c>
      <c r="C127" s="39">
        <v>1011.8</v>
      </c>
      <c r="D127" s="39">
        <f>8632.7+3487.1</f>
        <v>12119.800000000001</v>
      </c>
      <c r="E127" s="39">
        <f>54761.2+1529.1</f>
        <v>56290.299999999996</v>
      </c>
      <c r="F127" s="39">
        <f>2141+331.2</f>
        <v>2472.1999999999998</v>
      </c>
      <c r="G127" s="39">
        <f>897.7+26392.3-8815.6+20061.6+2887.4</f>
        <v>41423.4</v>
      </c>
      <c r="H127" s="40">
        <f>12242.4+8815.6+983.7+13660.7</f>
        <v>35702.400000000001</v>
      </c>
      <c r="I127" s="39">
        <f t="shared" ref="I127:I138" si="3">SUM(B127:H127)</f>
        <v>152642</v>
      </c>
    </row>
    <row r="128" spans="1:9" x14ac:dyDescent="0.25">
      <c r="A128" s="41">
        <v>43159</v>
      </c>
      <c r="B128" s="39">
        <f>1536+2106.2</f>
        <v>3642.2</v>
      </c>
      <c r="C128" s="39">
        <v>0</v>
      </c>
      <c r="D128" s="39">
        <f>8653.1+3495.7</f>
        <v>12148.8</v>
      </c>
      <c r="E128" s="39">
        <f>56063.1+1318.8</f>
        <v>57381.9</v>
      </c>
      <c r="F128" s="39">
        <f>3606.5+331.2</f>
        <v>3937.7</v>
      </c>
      <c r="G128" s="39">
        <f>-1264.7+29345.3-11824.7+20061.6+3052.7</f>
        <v>39370.199999999997</v>
      </c>
      <c r="H128" s="40">
        <f>11866.3+11824.7+1070.6+13915.8</f>
        <v>38677.399999999994</v>
      </c>
      <c r="I128" s="39">
        <f t="shared" si="3"/>
        <v>155158.19999999998</v>
      </c>
    </row>
    <row r="129" spans="1:9" x14ac:dyDescent="0.25">
      <c r="A129" s="41">
        <v>43160</v>
      </c>
      <c r="B129" s="39">
        <f>1440.8+2121.5</f>
        <v>3562.3</v>
      </c>
      <c r="C129" s="39">
        <v>0</v>
      </c>
      <c r="D129" s="39">
        <f>7677.1+3607.8</f>
        <v>11284.900000000001</v>
      </c>
      <c r="E129" s="39">
        <f>57342.6+1299.5</f>
        <v>58642.1</v>
      </c>
      <c r="F129" s="39">
        <f>3641+331.2</f>
        <v>3972.2</v>
      </c>
      <c r="G129" s="39">
        <f>508.2+27819.1-11880.4+21194.5+613.3</f>
        <v>38254.700000000004</v>
      </c>
      <c r="H129" s="40">
        <f>11819.8+11880.4+1843.3+14028.1</f>
        <v>39571.599999999999</v>
      </c>
      <c r="I129" s="39">
        <f t="shared" si="3"/>
        <v>155287.80000000002</v>
      </c>
    </row>
    <row r="130" spans="1:9" x14ac:dyDescent="0.25">
      <c r="A130" s="41">
        <v>43220</v>
      </c>
      <c r="B130" s="39">
        <f>1450.4+2126.8</f>
        <v>3577.2000000000003</v>
      </c>
      <c r="C130" s="39">
        <v>0</v>
      </c>
      <c r="D130" s="39">
        <f>7699.1+3653.4</f>
        <v>11352.5</v>
      </c>
      <c r="E130" s="39">
        <f>58639.7+1309.4</f>
        <v>59949.1</v>
      </c>
      <c r="F130" s="39">
        <f>3663.7+331.2</f>
        <v>3994.8999999999996</v>
      </c>
      <c r="G130" s="39">
        <f>609.6+27893.1-11951.7+21194.5+1230.6</f>
        <v>38976.1</v>
      </c>
      <c r="H130" s="40">
        <f>11928.5+11951.7+1035+13876.1</f>
        <v>38791.300000000003</v>
      </c>
      <c r="I130" s="39">
        <f t="shared" si="3"/>
        <v>156641.09999999998</v>
      </c>
    </row>
    <row r="131" spans="1:9" x14ac:dyDescent="0.25">
      <c r="A131" s="41">
        <v>43251</v>
      </c>
      <c r="B131" s="39">
        <f>1460.4+2128</f>
        <v>3588.4</v>
      </c>
      <c r="C131" s="39">
        <v>0</v>
      </c>
      <c r="D131" s="39">
        <f>7722.5+3735</f>
        <v>11457.5</v>
      </c>
      <c r="E131" s="39">
        <f>59828.2+1314.3</f>
        <v>61142.5</v>
      </c>
      <c r="F131" s="39">
        <f>3417.4+331.2</f>
        <v>3748.6</v>
      </c>
      <c r="G131" s="39">
        <f>760.9+27968.1-12003.6+21194.5+1239.3</f>
        <v>39159.200000000004</v>
      </c>
      <c r="H131" s="40">
        <f>12078+12003.6+1162.7+14289.8</f>
        <v>39534.1</v>
      </c>
      <c r="I131" s="39">
        <f t="shared" si="3"/>
        <v>158630.30000000002</v>
      </c>
    </row>
    <row r="132" spans="1:9" x14ac:dyDescent="0.25">
      <c r="A132" s="41">
        <v>43281</v>
      </c>
      <c r="B132" s="39">
        <f>1470.1+2136.3</f>
        <v>3606.4</v>
      </c>
      <c r="C132" s="39">
        <v>0</v>
      </c>
      <c r="D132" s="39">
        <f>7745+3684.7</f>
        <v>11429.7</v>
      </c>
      <c r="E132" s="39">
        <f>60992.3+1315.2</f>
        <v>62307.5</v>
      </c>
      <c r="F132" s="39">
        <f>3450.7+331.2</f>
        <v>3781.8999999999996</v>
      </c>
      <c r="G132" s="39">
        <f>924.3+28017.8-12050.9+21194.5+1623.7</f>
        <v>39709.399999999994</v>
      </c>
      <c r="H132" s="40">
        <f>11954+12050.9+1121.9+14269.2</f>
        <v>39396</v>
      </c>
      <c r="I132" s="39">
        <f t="shared" si="3"/>
        <v>160230.9</v>
      </c>
    </row>
    <row r="133" spans="1:9" x14ac:dyDescent="0.25">
      <c r="A133" s="41">
        <v>43282</v>
      </c>
      <c r="B133" s="39">
        <f>1480+2144.7</f>
        <v>3624.7</v>
      </c>
      <c r="C133" s="39">
        <v>0</v>
      </c>
      <c r="D133" s="39">
        <f>3881.5+7768.5</f>
        <v>11650</v>
      </c>
      <c r="E133" s="39">
        <f>1318.4+61943.7</f>
        <v>63262.1</v>
      </c>
      <c r="F133" s="39">
        <f>331.2+3472.8</f>
        <v>3804</v>
      </c>
      <c r="G133" s="39">
        <f>1064.6+28060-12090.3+21194.6+1892</f>
        <v>40120.899999999994</v>
      </c>
      <c r="H133" s="40">
        <f>12444.9+12090.3+1505.2+14451.5</f>
        <v>40491.899999999994</v>
      </c>
      <c r="I133" s="39">
        <f t="shared" si="3"/>
        <v>162953.59999999998</v>
      </c>
    </row>
    <row r="134" spans="1:9" x14ac:dyDescent="0.25">
      <c r="A134" s="41">
        <v>43314</v>
      </c>
      <c r="B134" s="39">
        <f>1490+2152.5</f>
        <v>3642.5</v>
      </c>
      <c r="C134" s="39">
        <v>0</v>
      </c>
      <c r="D134" s="39">
        <f>4018.4+7791.7</f>
        <v>11810.1</v>
      </c>
      <c r="E134" s="39">
        <f>1377.5+62753.9</f>
        <v>64131.4</v>
      </c>
      <c r="F134" s="39">
        <f>331.2+3495.1</f>
        <v>3826.2999999999997</v>
      </c>
      <c r="G134" s="39">
        <f>1276.8+26899-10924.4+21194.5+2128.8</f>
        <v>40574.700000000004</v>
      </c>
      <c r="H134" s="40">
        <f>12718.3+10924.4+1402.1+14419.1</f>
        <v>39463.899999999994</v>
      </c>
      <c r="I134" s="39">
        <f t="shared" si="3"/>
        <v>163448.9</v>
      </c>
    </row>
    <row r="135" spans="1:9" x14ac:dyDescent="0.25">
      <c r="A135" s="41">
        <v>43373</v>
      </c>
      <c r="B135" s="39">
        <f>1499.7+2161.5</f>
        <v>3661.2</v>
      </c>
      <c r="C135" s="39">
        <v>0</v>
      </c>
      <c r="D135" s="39">
        <f>4342.8+7814</f>
        <v>12156.8</v>
      </c>
      <c r="E135" s="39">
        <f>1365.4+63744.2</f>
        <v>65109.599999999999</v>
      </c>
      <c r="F135" s="39">
        <f>331.2+3536.3</f>
        <v>3867.5</v>
      </c>
      <c r="G135" s="39">
        <f>1502.5+26861.6-10883.5+21194.5+2469.1</f>
        <v>41144.199999999997</v>
      </c>
      <c r="H135" s="40">
        <f>12624.4+10883.5+2845.8+14807.3</f>
        <v>41161</v>
      </c>
      <c r="I135" s="39">
        <f t="shared" si="3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3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4609.3+7859.7</f>
        <v>12469</v>
      </c>
      <c r="E137" s="39">
        <f>1540.8+66067.8</f>
        <v>67608.600000000006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si="3"/>
        <v>170984.5</v>
      </c>
    </row>
    <row r="138" spans="1:9" x14ac:dyDescent="0.25">
      <c r="A138" s="41">
        <v>43435</v>
      </c>
      <c r="B138" s="39">
        <f>1532.5+2179.5</f>
        <v>3712</v>
      </c>
      <c r="C138" s="39">
        <v>0</v>
      </c>
      <c r="D138" s="39">
        <f>4736.7+7842.1</f>
        <v>12578.8</v>
      </c>
      <c r="E138" s="39">
        <f>1972.9+67401.4</f>
        <v>69374.299999999988</v>
      </c>
      <c r="F138" s="39">
        <f>331.2+3319.7</f>
        <v>3650.8999999999996</v>
      </c>
      <c r="G138" s="39">
        <f>2891.2+19940.3-3995.3+21194.6+3743.5</f>
        <v>43774.3</v>
      </c>
      <c r="H138" s="40">
        <f>12715.3+3995.3+2172.7+15442.7</f>
        <v>34326</v>
      </c>
      <c r="I138" s="39">
        <f t="shared" si="3"/>
        <v>167416.29999999999</v>
      </c>
    </row>
    <row r="139" spans="1:9" x14ac:dyDescent="0.25">
      <c r="A139" s="41">
        <v>43496</v>
      </c>
      <c r="B139" s="39">
        <f>1543.3+2180.7</f>
        <v>3724</v>
      </c>
      <c r="C139" s="39">
        <v>0</v>
      </c>
      <c r="D139" s="39">
        <f>4833.6+7034.1</f>
        <v>11867.7</v>
      </c>
      <c r="E139" s="39">
        <f>2043.5+70274.3</f>
        <v>72317.8</v>
      </c>
      <c r="F139" s="39">
        <f>331.2+3340.8</f>
        <v>3672</v>
      </c>
      <c r="G139" s="39">
        <f>3015.2+19937.5-3990.3+21194.5+3587.7</f>
        <v>43744.6</v>
      </c>
      <c r="H139" s="40">
        <f>12835+3990.3+2655.4+15888.8</f>
        <v>35369.5</v>
      </c>
      <c r="I139" s="39">
        <f t="shared" ref="I139:I165" si="4">SUM(B139:H139)</f>
        <v>170695.6</v>
      </c>
    </row>
    <row r="140" spans="1:9" x14ac:dyDescent="0.25">
      <c r="A140" s="41">
        <v>43524</v>
      </c>
      <c r="B140" s="39">
        <f>1553.7+2189.7</f>
        <v>3743.3999999999996</v>
      </c>
      <c r="C140" s="39">
        <v>0</v>
      </c>
      <c r="D140" s="39">
        <f>4910+7056.2</f>
        <v>11966.2</v>
      </c>
      <c r="E140" s="39">
        <f>1992.4+73287.3</f>
        <v>75279.7</v>
      </c>
      <c r="F140" s="39">
        <f>331.2+3359.8</f>
        <v>3691</v>
      </c>
      <c r="G140" s="39">
        <f>3241.7+19922.2-3973.3+21194.5+3599.8</f>
        <v>43984.900000000009</v>
      </c>
      <c r="H140" s="40">
        <f>12607.2+3973.3+2249.7+16549.3</f>
        <v>35379.5</v>
      </c>
      <c r="I140" s="39">
        <f t="shared" si="4"/>
        <v>174044.7</v>
      </c>
    </row>
    <row r="141" spans="1:9" x14ac:dyDescent="0.25">
      <c r="A141" s="41">
        <v>43555</v>
      </c>
      <c r="B141" s="39">
        <f>1564+2190.1</f>
        <v>3754.1</v>
      </c>
      <c r="C141" s="39">
        <v>0</v>
      </c>
      <c r="D141" s="39">
        <f>5998.8+7079.8</f>
        <v>13078.6</v>
      </c>
      <c r="E141" s="39">
        <f>2338.1+74854.3</f>
        <v>77192.400000000009</v>
      </c>
      <c r="F141" s="39">
        <f>331.2+3410.7</f>
        <v>3741.8999999999996</v>
      </c>
      <c r="G141" s="39">
        <f>504.3+21648.2-3215.1+23053.6+703.1</f>
        <v>42694.1</v>
      </c>
      <c r="H141" s="40">
        <f>12447.5+3215.1+3700.5+16833.1</f>
        <v>36196.199999999997</v>
      </c>
      <c r="I141" s="39">
        <f t="shared" si="4"/>
        <v>176657.3</v>
      </c>
    </row>
    <row r="142" spans="1:9" x14ac:dyDescent="0.25">
      <c r="A142" s="41">
        <v>43556</v>
      </c>
      <c r="B142" s="39">
        <f>1877.2+2194.9</f>
        <v>4072.1000000000004</v>
      </c>
      <c r="C142" s="39">
        <v>0</v>
      </c>
      <c r="D142" s="39">
        <f>6140.4+7103.1</f>
        <v>13243.5</v>
      </c>
      <c r="E142" s="39">
        <f>2107.8+75455.9</f>
        <v>77563.7</v>
      </c>
      <c r="F142" s="39">
        <f>331.2+3124.4</f>
        <v>3455.6</v>
      </c>
      <c r="G142" s="39">
        <f>629.9+22061.9-3608.7+23053.5+1667</f>
        <v>43803.600000000006</v>
      </c>
      <c r="H142" s="40">
        <f>12395.1+3608.7+2486.9+16764.1</f>
        <v>35254.800000000003</v>
      </c>
      <c r="I142" s="39">
        <f t="shared" si="4"/>
        <v>177393.3</v>
      </c>
    </row>
    <row r="143" spans="1:9" x14ac:dyDescent="0.25">
      <c r="A143" s="41">
        <v>43587</v>
      </c>
      <c r="B143" s="39">
        <f>1890.9+2200.9</f>
        <v>4091.8</v>
      </c>
      <c r="C143" s="39">
        <v>0</v>
      </c>
      <c r="D143" s="39">
        <f>6251.6+7127.1</f>
        <v>13378.7</v>
      </c>
      <c r="E143" s="39">
        <f>2238.9+77474.2</f>
        <v>79713.099999999991</v>
      </c>
      <c r="F143" s="39">
        <f>331.2+3143.7</f>
        <v>3474.8999999999996</v>
      </c>
      <c r="G143" s="39">
        <f>950.2+21184.2-2727.1+23053.6+1723.5</f>
        <v>44184.4</v>
      </c>
      <c r="H143" s="40">
        <f>12081.7+2727.1+1853.3+17395.5</f>
        <v>34057.600000000006</v>
      </c>
      <c r="I143" s="39">
        <f t="shared" si="4"/>
        <v>178900.5</v>
      </c>
    </row>
    <row r="144" spans="1:9" x14ac:dyDescent="0.25">
      <c r="A144" s="41">
        <v>43619</v>
      </c>
      <c r="B144" s="39">
        <f>1903.1+2213.2</f>
        <v>4116.2999999999993</v>
      </c>
      <c r="C144" s="39">
        <v>0</v>
      </c>
      <c r="D144" s="39">
        <f>6101.4+7150.4</f>
        <v>13251.8</v>
      </c>
      <c r="E144" s="39">
        <f>3523.3+78966.3</f>
        <v>82489.600000000006</v>
      </c>
      <c r="F144" s="39">
        <f>331.2+3196.9</f>
        <v>3528.1</v>
      </c>
      <c r="G144" s="39">
        <f>1304.9+21236.3-2776.4+23053.5+2192.6</f>
        <v>45010.9</v>
      </c>
      <c r="H144" s="40">
        <f>12630.2+2776.4+1710+17566.3</f>
        <v>34682.899999999994</v>
      </c>
      <c r="I144" s="39">
        <f t="shared" si="4"/>
        <v>183079.6</v>
      </c>
    </row>
    <row r="145" spans="1:9" x14ac:dyDescent="0.25">
      <c r="A145" s="41">
        <v>43677</v>
      </c>
      <c r="B145" s="39">
        <f>1915.6+2219.6</f>
        <v>4135.2</v>
      </c>
      <c r="C145" s="39">
        <v>0</v>
      </c>
      <c r="D145" s="39">
        <f>7174.4+6178.2</f>
        <v>13352.599999999999</v>
      </c>
      <c r="E145" s="39">
        <f>3535.8+80298.7</f>
        <v>83834.5</v>
      </c>
      <c r="F145" s="39">
        <f>331.2+3216.8</f>
        <v>3548</v>
      </c>
      <c r="G145" s="39">
        <f>1544.1+21209.9-2789.4+23053.6+2546.5</f>
        <v>45564.7</v>
      </c>
      <c r="H145" s="40">
        <f>12240.3+2789.4+2760.7+17999.6</f>
        <v>35790</v>
      </c>
      <c r="I145" s="39">
        <f t="shared" si="4"/>
        <v>186225</v>
      </c>
    </row>
    <row r="146" spans="1:9" x14ac:dyDescent="0.25">
      <c r="A146" s="41">
        <v>43678</v>
      </c>
      <c r="B146" s="39">
        <f>1223.7+2223.4</f>
        <v>3447.1000000000004</v>
      </c>
      <c r="C146" s="39">
        <v>0</v>
      </c>
      <c r="D146" s="39">
        <f>7198.5+6201.8</f>
        <v>13400.3</v>
      </c>
      <c r="E146" s="39">
        <f>3522.7+83677.8</f>
        <v>87200.5</v>
      </c>
      <c r="F146" s="39">
        <f>3236.7+331.2</f>
        <v>3567.8999999999996</v>
      </c>
      <c r="G146" s="39">
        <f>1796.3+21249.2-2826.6+23053.6+2997</f>
        <v>46269.5</v>
      </c>
      <c r="H146" s="40">
        <f>11697.1+2826.6+2060.9+18471.8</f>
        <v>35056.400000000001</v>
      </c>
      <c r="I146" s="39">
        <f t="shared" si="4"/>
        <v>188941.69999999998</v>
      </c>
    </row>
    <row r="147" spans="1:9" x14ac:dyDescent="0.25">
      <c r="A147" s="41">
        <v>43738</v>
      </c>
      <c r="B147" s="39">
        <f>1231.3+2233.8</f>
        <v>3465.1000000000004</v>
      </c>
      <c r="C147" s="39">
        <v>0</v>
      </c>
      <c r="D147" s="39">
        <f>7221.7+6239.5</f>
        <v>13461.2</v>
      </c>
      <c r="E147" s="39">
        <f>3526.5+84281</f>
        <v>87807.5</v>
      </c>
      <c r="F147" s="39">
        <f>3227.9+331.2</f>
        <v>3559.1</v>
      </c>
      <c r="G147" s="39">
        <f>2060.6+21258-2833.1+23053.6+3660.8</f>
        <v>47199.9</v>
      </c>
      <c r="H147" s="40">
        <f>11328.5+2833.1+1945.6+18546.5</f>
        <v>34653.699999999997</v>
      </c>
      <c r="I147" s="39">
        <f t="shared" si="4"/>
        <v>190146.5</v>
      </c>
    </row>
    <row r="148" spans="1:9" x14ac:dyDescent="0.25">
      <c r="A148" s="41">
        <v>43739</v>
      </c>
      <c r="B148" s="39">
        <f>1239.1+2240.2</f>
        <v>3479.2999999999997</v>
      </c>
      <c r="C148" s="39">
        <v>0</v>
      </c>
      <c r="D148" s="39">
        <f>7245.8+6077.2</f>
        <v>13323</v>
      </c>
      <c r="E148" s="39">
        <f>3535.4+88646.3</f>
        <v>92181.7</v>
      </c>
      <c r="F148" s="39">
        <f>3247.8+331.2</f>
        <v>3579</v>
      </c>
      <c r="G148" s="39">
        <f>2318.8+21270.7-2843.2+23053.6+3702.5</f>
        <v>47502.399999999994</v>
      </c>
      <c r="H148" s="40">
        <f>11423.7+2843.2+2187.4+19328.9</f>
        <v>35783.200000000004</v>
      </c>
      <c r="I148" s="39">
        <f t="shared" si="4"/>
        <v>195848.6</v>
      </c>
    </row>
    <row r="149" spans="1:9" x14ac:dyDescent="0.25">
      <c r="A149" s="41">
        <v>43799</v>
      </c>
      <c r="B149" s="39">
        <f>1246.6+2242.1</f>
        <v>3488.7</v>
      </c>
      <c r="C149" s="39">
        <v>0</v>
      </c>
      <c r="D149" s="39">
        <f>7269+6098.9</f>
        <v>13367.9</v>
      </c>
      <c r="E149" s="39">
        <f>3525.3+91265.3</f>
        <v>94790.6</v>
      </c>
      <c r="F149" s="39">
        <f>2962.1+331.2</f>
        <v>3293.2999999999997</v>
      </c>
      <c r="G149" s="39">
        <f>2534.9+21296.9-2840.7+23053.6+4261.5</f>
        <v>48306.2</v>
      </c>
      <c r="H149" s="40">
        <f>11818+2840.7+2181.9+19386.1</f>
        <v>36226.699999999997</v>
      </c>
      <c r="I149" s="39">
        <f t="shared" si="4"/>
        <v>199473.40000000002</v>
      </c>
    </row>
    <row r="150" spans="1:9" x14ac:dyDescent="0.25">
      <c r="A150" s="41">
        <v>43800</v>
      </c>
      <c r="B150" s="39">
        <f>1265.7+2249.9</f>
        <v>3515.6000000000004</v>
      </c>
      <c r="C150" s="39">
        <v>0</v>
      </c>
      <c r="D150" s="39">
        <f>7250.6+6107.1</f>
        <v>13357.7</v>
      </c>
      <c r="E150" s="39">
        <f>5506.9+92425.5</f>
        <v>97932.4</v>
      </c>
      <c r="F150" s="39">
        <f>3051.7+331.2</f>
        <v>3382.8999999999996</v>
      </c>
      <c r="G150" s="39">
        <f>2928.3+21176-2722.2+23053.6+5011.8</f>
        <v>49447.5</v>
      </c>
      <c r="H150" s="40">
        <f>11301+2722.2+1519.5+19174.1</f>
        <v>34716.800000000003</v>
      </c>
      <c r="I150" s="39">
        <f t="shared" si="4"/>
        <v>202352.89999999997</v>
      </c>
    </row>
    <row r="151" spans="1:9" x14ac:dyDescent="0.25">
      <c r="A151" s="41">
        <v>43861</v>
      </c>
      <c r="B151" s="39">
        <f>1275.6+2255.9</f>
        <v>3531.5</v>
      </c>
      <c r="C151" s="39">
        <v>0</v>
      </c>
      <c r="D151" s="39">
        <f>7275.5+6130.4</f>
        <v>13405.9</v>
      </c>
      <c r="E151" s="39">
        <f>5494.8+93929.9</f>
        <v>99424.7</v>
      </c>
      <c r="F151" s="39">
        <f>3070.4+331.2</f>
        <v>3401.6</v>
      </c>
      <c r="G151" s="39">
        <f>3062.2+21223.7-2767.7+23053.6+4974.3</f>
        <v>49546.100000000006</v>
      </c>
      <c r="H151" s="40">
        <f>11701.7+2767.7+1573.4+19570.6</f>
        <v>35613.4</v>
      </c>
      <c r="I151" s="39">
        <f t="shared" si="4"/>
        <v>204923.2</v>
      </c>
    </row>
    <row r="152" spans="1:9" x14ac:dyDescent="0.25">
      <c r="A152" s="41">
        <v>43862</v>
      </c>
      <c r="B152" s="39">
        <f>1285+2258.9</f>
        <v>3543.9</v>
      </c>
      <c r="C152" s="39">
        <v>0</v>
      </c>
      <c r="D152" s="39">
        <f>7298.7+6175.5</f>
        <v>13474.2</v>
      </c>
      <c r="E152" s="39">
        <f>5470.1+95898.2</f>
        <v>101368.3</v>
      </c>
      <c r="F152" s="39">
        <f>3088+331.2</f>
        <v>3419.2</v>
      </c>
      <c r="G152" s="39">
        <f>3200.7+21356.3-2895.9+23053.6+5300.4</f>
        <v>50015.1</v>
      </c>
      <c r="H152" s="40">
        <f>11887.9+2895.9+1614.7+19898</f>
        <v>36296.5</v>
      </c>
      <c r="I152" s="39">
        <f t="shared" si="4"/>
        <v>208117.2</v>
      </c>
    </row>
    <row r="153" spans="1:9" x14ac:dyDescent="0.25">
      <c r="A153" s="41">
        <v>43921</v>
      </c>
      <c r="B153" s="39">
        <f>1449.5+2270.3</f>
        <v>3719.8</v>
      </c>
      <c r="C153" s="39">
        <v>0</v>
      </c>
      <c r="D153" s="39">
        <f>7323.6+6202.5</f>
        <v>13526.1</v>
      </c>
      <c r="E153" s="39">
        <f>7493.3+98177.6</f>
        <v>105670.90000000001</v>
      </c>
      <c r="F153" s="39">
        <f>3107.3+331.2</f>
        <v>3438.5</v>
      </c>
      <c r="G153" s="39">
        <f>505.2+23162.6-2633+25865.7+1007.6</f>
        <v>47908.1</v>
      </c>
      <c r="H153" s="40">
        <f>12045.1+2633+2155.2+19962.9</f>
        <v>36796.199999999997</v>
      </c>
      <c r="I153" s="39">
        <f t="shared" si="4"/>
        <v>211059.60000000003</v>
      </c>
    </row>
    <row r="154" spans="1:9" x14ac:dyDescent="0.25">
      <c r="A154" s="41">
        <v>43922</v>
      </c>
      <c r="B154" s="39">
        <f>1771+2278.9</f>
        <v>4049.9</v>
      </c>
      <c r="C154" s="39">
        <v>0</v>
      </c>
      <c r="D154" s="39">
        <f>9354.8+6292.6</f>
        <v>15647.4</v>
      </c>
      <c r="E154" s="39">
        <f>6524.5+100324.3</f>
        <v>106848.8</v>
      </c>
      <c r="F154" s="39">
        <f>2880.6+331.2</f>
        <v>3211.7999999999997</v>
      </c>
      <c r="G154" s="39">
        <f>727+23226.1-2672.4+25865.7+1837.8</f>
        <v>48984.2</v>
      </c>
      <c r="H154" s="40">
        <f>10792.8+2672.4+1606.3+20105.3</f>
        <v>35176.799999999996</v>
      </c>
      <c r="I154" s="39">
        <f t="shared" si="4"/>
        <v>213918.9</v>
      </c>
    </row>
    <row r="155" spans="1:9" x14ac:dyDescent="0.25">
      <c r="A155" s="41">
        <v>43982</v>
      </c>
      <c r="B155" s="39">
        <f>1279.6+2285.9</f>
        <v>3565.5</v>
      </c>
      <c r="C155" s="39">
        <v>0</v>
      </c>
      <c r="D155" s="39">
        <f>8378.4+6244.3</f>
        <v>14622.7</v>
      </c>
      <c r="E155" s="39">
        <f>8534.6+102520.5</f>
        <v>111055.1</v>
      </c>
      <c r="F155" s="39">
        <f>2897.6+331.2</f>
        <v>3228.7999999999997</v>
      </c>
      <c r="G155" s="39">
        <f>887.1+23311.4-2752.8+25865.7+2256.7</f>
        <v>49568.1</v>
      </c>
      <c r="H155" s="40">
        <f>10629.5+2752.8+1640.7+20501.2</f>
        <v>35524.199999999997</v>
      </c>
      <c r="I155" s="39">
        <f t="shared" si="4"/>
        <v>217564.40000000002</v>
      </c>
    </row>
    <row r="156" spans="1:9" x14ac:dyDescent="0.25">
      <c r="A156" s="41">
        <v>44012</v>
      </c>
      <c r="B156" s="39">
        <f>1287.7+2294.3</f>
        <v>3582</v>
      </c>
      <c r="C156" s="39">
        <v>0</v>
      </c>
      <c r="D156" s="39">
        <f>1291+6290.6</f>
        <v>7581.6</v>
      </c>
      <c r="E156" s="39">
        <f>17136.6+107279</f>
        <v>124415.6</v>
      </c>
      <c r="F156" s="39">
        <f>2929.4+331.2</f>
        <v>3260.6</v>
      </c>
      <c r="G156" s="39">
        <f>1308.8+23339.5-2776.5+25865.7+2876.4</f>
        <v>50613.9</v>
      </c>
      <c r="H156" s="40">
        <f>10659.6+2776.5+1879.6+20746.1</f>
        <v>36061.800000000003</v>
      </c>
      <c r="I156" s="39">
        <f t="shared" si="4"/>
        <v>225515.5</v>
      </c>
    </row>
    <row r="157" spans="1:9" x14ac:dyDescent="0.25">
      <c r="A157" s="41">
        <v>44043</v>
      </c>
      <c r="B157" s="39">
        <f>1296.2+2325.7</f>
        <v>3621.8999999999996</v>
      </c>
      <c r="C157" s="39">
        <v>0</v>
      </c>
      <c r="D157" s="39">
        <f>3287.3+6254.4</f>
        <v>9541.7000000000007</v>
      </c>
      <c r="E157" s="39">
        <f>15175.7+114674.5</f>
        <v>129850.2</v>
      </c>
      <c r="F157" s="39">
        <f>2947+331.2</f>
        <v>3278.2</v>
      </c>
      <c r="G157" s="39">
        <f>1562.5+23326.7-2779.7+25865.8+3279.8</f>
        <v>51255.100000000006</v>
      </c>
      <c r="H157" s="40">
        <f>10731+2779.7+3370.5+21337.7</f>
        <v>38218.9</v>
      </c>
      <c r="I157" s="39">
        <f t="shared" si="4"/>
        <v>235766</v>
      </c>
    </row>
    <row r="158" spans="1:9" x14ac:dyDescent="0.25">
      <c r="A158" s="41">
        <v>44074</v>
      </c>
      <c r="B158" s="39">
        <f>1304.7+2329.2</f>
        <v>3633.8999999999996</v>
      </c>
      <c r="C158" s="39">
        <v>0</v>
      </c>
      <c r="D158" s="39">
        <f>10453.9+6167.9</f>
        <v>16621.8</v>
      </c>
      <c r="E158" s="39">
        <f>8024.9+116166</f>
        <v>124190.9</v>
      </c>
      <c r="F158" s="39">
        <f>2964.6+331.2</f>
        <v>3295.7999999999997</v>
      </c>
      <c r="G158" s="39">
        <f>1783.5+23338.6-2786.2+25865.7+4350.6</f>
        <v>52552.2</v>
      </c>
      <c r="H158" s="40">
        <f>10704.6+2786.2+2173+21281.3</f>
        <v>36945.1</v>
      </c>
      <c r="I158" s="39">
        <f t="shared" si="4"/>
        <v>237239.69999999998</v>
      </c>
    </row>
    <row r="159" spans="1:9" x14ac:dyDescent="0.25">
      <c r="A159" s="41">
        <v>44104</v>
      </c>
      <c r="B159" s="39">
        <f>1312.9+2333.9</f>
        <v>3646.8</v>
      </c>
      <c r="C159" s="39">
        <v>0</v>
      </c>
      <c r="D159" s="39">
        <f>3289.1+6230.2</f>
        <v>9519.2999999999993</v>
      </c>
      <c r="E159" s="39">
        <f>15222+121951</f>
        <v>137173</v>
      </c>
      <c r="F159" s="39">
        <f>3006.7+331.2</f>
        <v>3337.8999999999996</v>
      </c>
      <c r="G159" s="39">
        <f>2034.4+23352.7-2796.7+25865.7+5313.7</f>
        <v>53769.8</v>
      </c>
      <c r="H159" s="40">
        <f>10553.2+2796.7+2137.2+21347.6</f>
        <v>36834.699999999997</v>
      </c>
      <c r="I159" s="39">
        <f t="shared" si="4"/>
        <v>244281.5</v>
      </c>
    </row>
    <row r="160" spans="1:9" x14ac:dyDescent="0.25">
      <c r="A160" s="41">
        <v>44135</v>
      </c>
      <c r="B160" s="39">
        <f>1321.4+2343.5</f>
        <v>3664.9</v>
      </c>
      <c r="C160" s="39">
        <v>0</v>
      </c>
      <c r="D160" s="39">
        <f>10502.9+6088.7</f>
        <v>16591.599999999999</v>
      </c>
      <c r="E160" s="39">
        <f>8049+124049.9</f>
        <v>132098.9</v>
      </c>
      <c r="F160" s="39">
        <f>3024.2+331.2</f>
        <v>3355.3999999999996</v>
      </c>
      <c r="G160" s="39">
        <f>2265.2+23393-2822.3+25865.7+6061.5</f>
        <v>54763.100000000006</v>
      </c>
      <c r="H160" s="40">
        <f>10411.4+2822.3+2876.7+21402.5</f>
        <v>37512.9</v>
      </c>
      <c r="I160" s="39">
        <f t="shared" si="4"/>
        <v>247986.8</v>
      </c>
    </row>
    <row r="161" spans="1:9" x14ac:dyDescent="0.25">
      <c r="A161" s="41">
        <v>44165</v>
      </c>
      <c r="B161" s="39">
        <f>1329.6+2354.5</f>
        <v>3684.1</v>
      </c>
      <c r="C161" s="39">
        <v>0</v>
      </c>
      <c r="D161" s="39">
        <f>10526.4+10420.1</f>
        <v>20946.5</v>
      </c>
      <c r="E161" s="39">
        <f>8634.4+122714.6</f>
        <v>131349</v>
      </c>
      <c r="F161" s="39">
        <f>2746.8+331.2</f>
        <v>3078</v>
      </c>
      <c r="G161" s="39">
        <f>2566.1+22834.5-2361.8+25865.8+6879.8</f>
        <v>55784.4</v>
      </c>
      <c r="H161" s="40">
        <f>10666.8+2361.8+2823.8+21674.1</f>
        <v>37526.5</v>
      </c>
      <c r="I161" s="39">
        <f t="shared" si="4"/>
        <v>252368.5</v>
      </c>
    </row>
    <row r="162" spans="1:9" x14ac:dyDescent="0.25">
      <c r="A162" s="41">
        <v>44196</v>
      </c>
      <c r="B162" s="39">
        <f>3540.3+2349.3</f>
        <v>5889.6</v>
      </c>
      <c r="C162" s="39">
        <v>0</v>
      </c>
      <c r="D162" s="39">
        <f>7500.1+10599.9</f>
        <v>18100</v>
      </c>
      <c r="E162" s="39">
        <f>12350.3+127854</f>
        <v>140204.29999999999</v>
      </c>
      <c r="F162" s="39">
        <f>2780.7+331.2</f>
        <v>3111.8999999999996</v>
      </c>
      <c r="G162" s="39">
        <f>2775.7+22620.3-2149.9+25865.8+7644.2</f>
        <v>56756.099999999991</v>
      </c>
      <c r="H162" s="40">
        <f>10286.8+2149.9+2229.5+21747.8</f>
        <v>36414</v>
      </c>
      <c r="I162" s="39">
        <f t="shared" si="4"/>
        <v>260475.89999999997</v>
      </c>
    </row>
    <row r="163" spans="1:9" x14ac:dyDescent="0.25">
      <c r="A163" s="41">
        <v>44227</v>
      </c>
      <c r="B163" s="39">
        <f>4111.3+2358.2</f>
        <v>6469.5</v>
      </c>
      <c r="C163" s="39">
        <v>0</v>
      </c>
      <c r="D163" s="39">
        <f>10533.1+10423</f>
        <v>20956.099999999999</v>
      </c>
      <c r="E163" s="39">
        <f>9357.8+131809.1</f>
        <v>141166.9</v>
      </c>
      <c r="F163" s="39">
        <f>2798.3+331.2</f>
        <v>3129.5</v>
      </c>
      <c r="G163" s="39">
        <f>2890+22661.8-2189.4+25865.8+7668.3</f>
        <v>56896.5</v>
      </c>
      <c r="H163" s="40">
        <f>10141.9+2189.4+2783.5+22063.7</f>
        <v>37178.5</v>
      </c>
      <c r="I163" s="39">
        <f t="shared" si="4"/>
        <v>265797</v>
      </c>
    </row>
    <row r="164" spans="1:9" x14ac:dyDescent="0.25">
      <c r="A164" s="41">
        <v>44255</v>
      </c>
      <c r="B164" s="39">
        <f>4230.6+2359.5</f>
        <v>6590.1</v>
      </c>
      <c r="C164" s="39">
        <v>0</v>
      </c>
      <c r="D164" s="39">
        <f>10554.5+10400.1</f>
        <v>20954.599999999999</v>
      </c>
      <c r="E164" s="39">
        <f>9340.7+134735.7</f>
        <v>144076.40000000002</v>
      </c>
      <c r="F164" s="39">
        <f>2814.2+331.2</f>
        <v>3145.3999999999996</v>
      </c>
      <c r="G164" s="39">
        <f>3072.1+22653.3-2179.2+25865.7+8583.7</f>
        <v>57995.599999999991</v>
      </c>
      <c r="H164" s="40">
        <f>10344.2+2179.2+2275.8+22270.5</f>
        <v>37069.699999999997</v>
      </c>
      <c r="I164" s="39">
        <f t="shared" si="4"/>
        <v>269831.80000000005</v>
      </c>
    </row>
    <row r="165" spans="1:9" x14ac:dyDescent="0.25">
      <c r="A165" s="41">
        <v>44286</v>
      </c>
      <c r="B165" s="39">
        <f>8259.6+2366.1</f>
        <v>10625.7</v>
      </c>
      <c r="C165" s="39">
        <v>0</v>
      </c>
      <c r="D165" s="39">
        <f>8573.6+10336.4</f>
        <v>18910</v>
      </c>
      <c r="E165" s="39">
        <f>9295.7+140230.8</f>
        <v>149526.5</v>
      </c>
      <c r="F165" s="39">
        <f>2852.1+331.2</f>
        <v>3183.2999999999997</v>
      </c>
      <c r="G165" s="39">
        <f>427.4+24685.1-2171+30066.7+3387.7</f>
        <v>56395.899999999994</v>
      </c>
      <c r="H165" s="40">
        <f>10804.4+2171+2415.8+22369.4</f>
        <v>37760.600000000006</v>
      </c>
      <c r="I165" s="39">
        <f t="shared" si="4"/>
        <v>276402</v>
      </c>
    </row>
    <row r="166" spans="1:9" x14ac:dyDescent="0.25">
      <c r="A166" s="42" t="s">
        <v>0</v>
      </c>
      <c r="B166" s="40"/>
      <c r="C166" s="40"/>
      <c r="D166" s="43"/>
      <c r="E166" s="40"/>
      <c r="F166" s="43"/>
      <c r="G166" s="43"/>
      <c r="H166" s="43"/>
      <c r="I166" s="39"/>
    </row>
    <row r="167" spans="1:9" x14ac:dyDescent="0.25">
      <c r="A167" s="54" t="s">
        <v>2</v>
      </c>
      <c r="B167" s="55"/>
      <c r="C167" s="55"/>
      <c r="D167" s="55"/>
      <c r="E167" s="55"/>
      <c r="F167" s="55"/>
      <c r="G167" s="55"/>
      <c r="H167" s="55"/>
      <c r="I167" s="56"/>
    </row>
  </sheetData>
  <mergeCells count="2">
    <mergeCell ref="A4:I4"/>
    <mergeCell ref="A167:I16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1"/>
  <sheetViews>
    <sheetView workbookViewId="0">
      <pane xSplit="1" ySplit="6" topLeftCell="I53" activePane="bottomRight" state="frozen"/>
      <selection pane="topRight" activeCell="B1" sqref="B1"/>
      <selection pane="bottomLeft" activeCell="A7" sqref="A7"/>
      <selection pane="bottomRight" activeCell="A59" sqref="A59:XFD59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6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f>1440.8+2121.5</f>
        <v>3562.3</v>
      </c>
      <c r="C47" s="39">
        <v>0</v>
      </c>
      <c r="D47" s="39">
        <f>7677.1+3607.8</f>
        <v>11284.900000000001</v>
      </c>
      <c r="E47" s="39">
        <f>57342.6+1299.5</f>
        <v>58642.1</v>
      </c>
      <c r="F47" s="39">
        <f>3641+331.2</f>
        <v>3972.2</v>
      </c>
      <c r="G47" s="39">
        <f>508.2+27819.1-11880.4+21194.5+613.3</f>
        <v>38254.700000000004</v>
      </c>
      <c r="H47" s="40">
        <f>11819.8+11880.4+1843.3+14028.1</f>
        <v>39571.599999999999</v>
      </c>
      <c r="I47" s="39">
        <f t="shared" ref="I47:I50" si="3">SUM(B47:H47)</f>
        <v>155287.80000000002</v>
      </c>
    </row>
    <row r="48" spans="1:9" x14ac:dyDescent="0.25">
      <c r="A48" s="41">
        <v>43281</v>
      </c>
      <c r="B48" s="39">
        <f>1470.1+2136.3</f>
        <v>3606.4</v>
      </c>
      <c r="C48" s="39">
        <v>0</v>
      </c>
      <c r="D48" s="39">
        <f>7745+3684.7</f>
        <v>11429.7</v>
      </c>
      <c r="E48" s="39">
        <f>60992.3+1315.2</f>
        <v>62307.5</v>
      </c>
      <c r="F48" s="39">
        <f>3450.7+331.2</f>
        <v>3781.8999999999996</v>
      </c>
      <c r="G48" s="39">
        <f>924.3+28017.8-12050.9+21194.5+1623.7</f>
        <v>39709.399999999994</v>
      </c>
      <c r="H48" s="40">
        <f>11954+12050.9+1121.9+14269.2</f>
        <v>39396</v>
      </c>
      <c r="I48" s="39">
        <f t="shared" si="3"/>
        <v>160230.9</v>
      </c>
    </row>
    <row r="49" spans="1:9" x14ac:dyDescent="0.25">
      <c r="A49" s="41">
        <v>43373</v>
      </c>
      <c r="B49" s="39">
        <f>1499.7+2161.5</f>
        <v>3661.2</v>
      </c>
      <c r="C49" s="39">
        <v>0</v>
      </c>
      <c r="D49" s="39">
        <f>4342.8+7814</f>
        <v>12156.8</v>
      </c>
      <c r="E49" s="39">
        <f>1365.4+63744.2</f>
        <v>65109.599999999999</v>
      </c>
      <c r="F49" s="39">
        <f>331.2+3536.3</f>
        <v>3867.5</v>
      </c>
      <c r="G49" s="39">
        <f>1502.5+26861.6-10883.5+21194.5+2469.1</f>
        <v>41144.199999999997</v>
      </c>
      <c r="H49" s="40">
        <f>12624.4+10883.5+2845.8+14807.3</f>
        <v>41161</v>
      </c>
      <c r="I49" s="39">
        <f t="shared" si="3"/>
        <v>167100.29999999999</v>
      </c>
    </row>
    <row r="50" spans="1:9" x14ac:dyDescent="0.25">
      <c r="A50" s="41">
        <v>43435</v>
      </c>
      <c r="B50" s="39">
        <f>1532.5+2179.5</f>
        <v>3712</v>
      </c>
      <c r="C50" s="39">
        <v>0</v>
      </c>
      <c r="D50" s="39">
        <f>4736.7+7842.1</f>
        <v>12578.8</v>
      </c>
      <c r="E50" s="39">
        <f>1972.9+67401.4</f>
        <v>69374.299999999988</v>
      </c>
      <c r="F50" s="39">
        <f>331.2+3319.7</f>
        <v>3650.8999999999996</v>
      </c>
      <c r="G50" s="39">
        <f>2891.2+19940.3-3995.3+21194.6+3743.5</f>
        <v>43774.3</v>
      </c>
      <c r="H50" s="40">
        <f>12715.3+3995.3+2172.7+15442.7</f>
        <v>34326</v>
      </c>
      <c r="I50" s="39">
        <f t="shared" si="3"/>
        <v>167416.29999999999</v>
      </c>
    </row>
    <row r="51" spans="1:9" x14ac:dyDescent="0.25">
      <c r="A51" s="41">
        <v>43555</v>
      </c>
      <c r="B51" s="39">
        <f>1564+2190.1</f>
        <v>3754.1</v>
      </c>
      <c r="C51" s="39">
        <v>0</v>
      </c>
      <c r="D51" s="39">
        <f>5998.8+7079.8</f>
        <v>13078.6</v>
      </c>
      <c r="E51" s="39">
        <f>2338.1+74854.3</f>
        <v>77192.400000000009</v>
      </c>
      <c r="F51" s="39">
        <f>331.2+3410.7</f>
        <v>3741.8999999999996</v>
      </c>
      <c r="G51" s="39">
        <f>504.3+21648.2-3215.1+23053.6+703.1</f>
        <v>42694.1</v>
      </c>
      <c r="H51" s="40">
        <f>12447.5+3215.1+3700.5+16833.1</f>
        <v>36196.199999999997</v>
      </c>
      <c r="I51" s="39">
        <f t="shared" ref="I51" si="4">SUM(B51:H51)</f>
        <v>176657.3</v>
      </c>
    </row>
    <row r="52" spans="1:9" x14ac:dyDescent="0.25">
      <c r="A52" s="41">
        <v>43619</v>
      </c>
      <c r="B52" s="39">
        <f>1903.1+2213.2</f>
        <v>4116.2999999999993</v>
      </c>
      <c r="C52" s="39">
        <v>0</v>
      </c>
      <c r="D52" s="39">
        <f>6101.4+7150.4</f>
        <v>13251.8</v>
      </c>
      <c r="E52" s="39">
        <f>3523.3+78966.3</f>
        <v>82489.600000000006</v>
      </c>
      <c r="F52" s="39">
        <f>331.2+3196.9</f>
        <v>3528.1</v>
      </c>
      <c r="G52" s="39">
        <f>1304.9+21236.3-2776.4+23053.5+2192.6</f>
        <v>45010.9</v>
      </c>
      <c r="H52" s="40">
        <f>12630.2+2776.4+1710+17566.3</f>
        <v>34682.899999999994</v>
      </c>
      <c r="I52" s="39">
        <f t="shared" ref="I52" si="5">SUM(B52:H52)</f>
        <v>183079.6</v>
      </c>
    </row>
    <row r="53" spans="1:9" x14ac:dyDescent="0.25">
      <c r="A53" s="41">
        <v>43738</v>
      </c>
      <c r="B53" s="39">
        <f>1231.3+2233.8</f>
        <v>3465.1000000000004</v>
      </c>
      <c r="C53" s="39">
        <v>0</v>
      </c>
      <c r="D53" s="39">
        <f>7221.7+6239.5</f>
        <v>13461.2</v>
      </c>
      <c r="E53" s="39">
        <f>3526.5+84281</f>
        <v>87807.5</v>
      </c>
      <c r="F53" s="39">
        <f>3227.9+331.2</f>
        <v>3559.1</v>
      </c>
      <c r="G53" s="39">
        <f>2060.6+21258-2833.1+23053.6+3660.8</f>
        <v>47199.9</v>
      </c>
      <c r="H53" s="40">
        <f>11328.5+2833.1+1945.6+18546.5</f>
        <v>34653.699999999997</v>
      </c>
      <c r="I53" s="39">
        <f t="shared" ref="I53:I54" si="6">SUM(B53:H53)</f>
        <v>190146.5</v>
      </c>
    </row>
    <row r="54" spans="1:9" x14ac:dyDescent="0.25">
      <c r="A54" s="41">
        <v>43800</v>
      </c>
      <c r="B54" s="39">
        <f>1265.7+2249.9</f>
        <v>3515.6000000000004</v>
      </c>
      <c r="C54" s="39">
        <v>0</v>
      </c>
      <c r="D54" s="39">
        <f>7250.6+6107.1</f>
        <v>13357.7</v>
      </c>
      <c r="E54" s="39">
        <f>5506.9+92425.5</f>
        <v>97932.4</v>
      </c>
      <c r="F54" s="39">
        <f>3051.7+331.2</f>
        <v>3382.8999999999996</v>
      </c>
      <c r="G54" s="39">
        <f>2928.3+21176-2722.2+23053.6+5011.8</f>
        <v>49447.5</v>
      </c>
      <c r="H54" s="40">
        <f>11301+2722.2+1519.5+19174.1</f>
        <v>34716.800000000003</v>
      </c>
      <c r="I54" s="39">
        <f t="shared" si="6"/>
        <v>202352.89999999997</v>
      </c>
    </row>
    <row r="55" spans="1:9" x14ac:dyDescent="0.25">
      <c r="A55" s="41">
        <v>43921</v>
      </c>
      <c r="B55" s="39">
        <f>1449.5+2270.3</f>
        <v>3719.8</v>
      </c>
      <c r="C55" s="39">
        <v>0</v>
      </c>
      <c r="D55" s="39">
        <f>7323.6+6202.5</f>
        <v>13526.1</v>
      </c>
      <c r="E55" s="39">
        <f>7493.3+98177.6</f>
        <v>105670.90000000001</v>
      </c>
      <c r="F55" s="39">
        <f>3107.3+331.2</f>
        <v>3438.5</v>
      </c>
      <c r="G55" s="39">
        <f>505.2+23162.6-2633+25865.7+1007.6</f>
        <v>47908.1</v>
      </c>
      <c r="H55" s="40">
        <f>12045.1+2633+2155.2+19962.9</f>
        <v>36796.199999999997</v>
      </c>
      <c r="I55" s="39">
        <f t="shared" ref="I55" si="7">SUM(B55:H55)</f>
        <v>211059.60000000003</v>
      </c>
    </row>
    <row r="56" spans="1:9" x14ac:dyDescent="0.25">
      <c r="A56" s="41">
        <v>44012</v>
      </c>
      <c r="B56" s="39">
        <f>1287.7+2294.3</f>
        <v>3582</v>
      </c>
      <c r="C56" s="39">
        <v>0</v>
      </c>
      <c r="D56" s="39">
        <f>1291+6290.6</f>
        <v>7581.6</v>
      </c>
      <c r="E56" s="39">
        <f>17136.6+107279</f>
        <v>124415.6</v>
      </c>
      <c r="F56" s="39">
        <f>2929.4+331.2</f>
        <v>3260.6</v>
      </c>
      <c r="G56" s="39">
        <f>1308.8+23339.5-2776.5+25865.7+2876.4</f>
        <v>50613.9</v>
      </c>
      <c r="H56" s="40">
        <f>10659.6+2776.5+1879.6+20746.1</f>
        <v>36061.800000000003</v>
      </c>
      <c r="I56" s="39">
        <f t="shared" ref="I56" si="8">SUM(B56:H56)</f>
        <v>225515.5</v>
      </c>
    </row>
    <row r="57" spans="1:9" x14ac:dyDescent="0.25">
      <c r="A57" s="41">
        <v>44104</v>
      </c>
      <c r="B57" s="39">
        <f>1312.9+2333.9</f>
        <v>3646.8</v>
      </c>
      <c r="C57" s="39">
        <v>0</v>
      </c>
      <c r="D57" s="39">
        <f>3289.1+6230.2</f>
        <v>9519.2999999999993</v>
      </c>
      <c r="E57" s="39">
        <f>15222+121951</f>
        <v>137173</v>
      </c>
      <c r="F57" s="39">
        <f>3006.7+331.2</f>
        <v>3337.8999999999996</v>
      </c>
      <c r="G57" s="39">
        <f>2034.4+23352.7-2796.7+25865.7+5313.7</f>
        <v>53769.8</v>
      </c>
      <c r="H57" s="40">
        <f>10553.2+2796.7+2137.2+21347.6</f>
        <v>36834.699999999997</v>
      </c>
      <c r="I57" s="39">
        <f t="shared" ref="I57" si="9">SUM(B57:H57)</f>
        <v>244281.5</v>
      </c>
    </row>
    <row r="58" spans="1:9" x14ac:dyDescent="0.25">
      <c r="A58" s="41">
        <v>44196</v>
      </c>
      <c r="B58" s="39">
        <f>3540.3+2349.3</f>
        <v>5889.6</v>
      </c>
      <c r="C58" s="39">
        <v>0</v>
      </c>
      <c r="D58" s="39">
        <f>7500.1+10599.9</f>
        <v>18100</v>
      </c>
      <c r="E58" s="39">
        <f>12350.3+127854</f>
        <v>140204.29999999999</v>
      </c>
      <c r="F58" s="39">
        <f>2780.7+331.2</f>
        <v>3111.8999999999996</v>
      </c>
      <c r="G58" s="39">
        <f>2775.7+22620.3-2149.9+25865.8+7644.2</f>
        <v>56756.099999999991</v>
      </c>
      <c r="H58" s="40">
        <f>10286.8+2149.9+2229.5+21747.8</f>
        <v>36414</v>
      </c>
      <c r="I58" s="39">
        <f t="shared" ref="I58" si="10">SUM(B58:H58)</f>
        <v>260475.89999999997</v>
      </c>
    </row>
    <row r="59" spans="1:9" x14ac:dyDescent="0.25">
      <c r="A59" s="41">
        <v>44286</v>
      </c>
      <c r="B59" s="39">
        <f>8259.6+2366.1</f>
        <v>10625.7</v>
      </c>
      <c r="C59" s="39">
        <v>0</v>
      </c>
      <c r="D59" s="39">
        <f>8573.6+10336.4</f>
        <v>18910</v>
      </c>
      <c r="E59" s="39">
        <f>9295.7+140230.8</f>
        <v>149526.5</v>
      </c>
      <c r="F59" s="39">
        <f>2852.1+331.2</f>
        <v>3183.2999999999997</v>
      </c>
      <c r="G59" s="39">
        <f>427.4+24685.1-2171+30066.7+3387.7</f>
        <v>56395.899999999994</v>
      </c>
      <c r="H59" s="40">
        <f>10804.4+2171+2415.8+22369.4</f>
        <v>37760.600000000006</v>
      </c>
      <c r="I59" s="39">
        <f t="shared" ref="I59" si="11">SUM(B59:H59)</f>
        <v>276402</v>
      </c>
    </row>
    <row r="60" spans="1:9" x14ac:dyDescent="0.25">
      <c r="A60" s="42" t="s">
        <v>0</v>
      </c>
      <c r="B60" s="40"/>
      <c r="C60" s="40"/>
      <c r="D60" s="43"/>
      <c r="E60" s="40"/>
      <c r="F60" s="43"/>
      <c r="G60" s="43"/>
      <c r="H60" s="43"/>
      <c r="I60" s="39"/>
    </row>
    <row r="61" spans="1:9" x14ac:dyDescent="0.25">
      <c r="A61" s="54" t="s">
        <v>2</v>
      </c>
      <c r="B61" s="55"/>
      <c r="C61" s="55"/>
      <c r="D61" s="55"/>
      <c r="E61" s="55"/>
      <c r="F61" s="55"/>
      <c r="G61" s="55"/>
      <c r="H61" s="55"/>
      <c r="I61" s="56"/>
    </row>
  </sheetData>
  <mergeCells count="2">
    <mergeCell ref="A4:I4"/>
    <mergeCell ref="A61:I61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1"/>
  <sheetViews>
    <sheetView workbookViewId="0">
      <pane xSplit="1" ySplit="6" topLeftCell="I13" activePane="bottomRight" state="frozen"/>
      <selection pane="topRight" activeCell="B1" sqref="B1"/>
      <selection pane="bottomLeft" activeCell="A7" sqref="A7"/>
      <selection pane="bottomRight" activeCell="I24" sqref="I24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1532.5+2179.5</f>
        <v>3712</v>
      </c>
      <c r="C17" s="39">
        <v>0</v>
      </c>
      <c r="D17" s="39">
        <f>4736.7+7842.1</f>
        <v>12578.8</v>
      </c>
      <c r="E17" s="39">
        <f>1972.9+67401.4</f>
        <v>69374.299999999988</v>
      </c>
      <c r="F17" s="39">
        <f>331.2+3319.7</f>
        <v>3650.8999999999996</v>
      </c>
      <c r="G17" s="39">
        <f>2891.2+19940.3-3995.3+21194.6+3743.5</f>
        <v>43774.3</v>
      </c>
      <c r="H17" s="40">
        <f>12715.3+3995.3+2172.7+15442.7</f>
        <v>34326</v>
      </c>
      <c r="I17" s="39">
        <f t="shared" ref="I17" si="1">SUM(B17:H17)</f>
        <v>167416.29999999999</v>
      </c>
    </row>
    <row r="18" spans="1:9" x14ac:dyDescent="0.25">
      <c r="A18" s="44">
        <v>2019</v>
      </c>
      <c r="B18" s="39">
        <f>1265.7+2249.9</f>
        <v>3515.6000000000004</v>
      </c>
      <c r="C18" s="39">
        <v>0</v>
      </c>
      <c r="D18" s="39">
        <f>7250.6+6107.1</f>
        <v>13357.7</v>
      </c>
      <c r="E18" s="39">
        <f>5506.9+92425.5</f>
        <v>97932.4</v>
      </c>
      <c r="F18" s="39">
        <f>3051.7+331.2</f>
        <v>3382.8999999999996</v>
      </c>
      <c r="G18" s="39">
        <f>2928.3+21176-2722.2+23053.6+5011.8</f>
        <v>49447.5</v>
      </c>
      <c r="H18" s="40">
        <f>11301+2722.2+1519.5+19174.1</f>
        <v>34716.800000000003</v>
      </c>
      <c r="I18" s="39">
        <f t="shared" ref="I18" si="2">SUM(B18:H18)</f>
        <v>202352.89999999997</v>
      </c>
    </row>
    <row r="19" spans="1:9" x14ac:dyDescent="0.25">
      <c r="A19" s="44">
        <v>2020</v>
      </c>
      <c r="B19" s="39">
        <f>3540.3+2349.3</f>
        <v>5889.6</v>
      </c>
      <c r="C19" s="39">
        <v>0</v>
      </c>
      <c r="D19" s="39">
        <f>7500.1+10599.9</f>
        <v>18100</v>
      </c>
      <c r="E19" s="39">
        <f>12350.3+127854</f>
        <v>140204.29999999999</v>
      </c>
      <c r="F19" s="39">
        <f>2780.7+331.2</f>
        <v>3111.8999999999996</v>
      </c>
      <c r="G19" s="39">
        <f>2775.7+22620.3-2149.9+25865.8+7644.2</f>
        <v>56756.099999999991</v>
      </c>
      <c r="H19" s="40">
        <f>10286.8+2149.9+2229.5+21747.8</f>
        <v>36414</v>
      </c>
      <c r="I19" s="39">
        <f t="shared" ref="I19" si="3">SUM(B19:H19)</f>
        <v>260475.89999999997</v>
      </c>
    </row>
    <row r="20" spans="1:9" x14ac:dyDescent="0.25">
      <c r="A20" s="42" t="s">
        <v>0</v>
      </c>
      <c r="B20" s="40"/>
      <c r="C20" s="40"/>
      <c r="D20" s="43"/>
      <c r="E20" s="40"/>
      <c r="F20" s="43"/>
      <c r="G20" s="43"/>
      <c r="H20" s="43"/>
      <c r="I20" s="39"/>
    </row>
    <row r="21" spans="1:9" x14ac:dyDescent="0.25">
      <c r="A21" s="54" t="s">
        <v>2</v>
      </c>
      <c r="B21" s="55"/>
      <c r="C21" s="55"/>
      <c r="D21" s="55"/>
      <c r="E21" s="55"/>
      <c r="F21" s="55"/>
      <c r="G21" s="55"/>
      <c r="H21" s="55"/>
      <c r="I21" s="56"/>
    </row>
  </sheetData>
  <mergeCells count="2">
    <mergeCell ref="A4:I4"/>
    <mergeCell ref="A21:I21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2021-07-09T06:09:34Z</dcterms:modified>
</cp:coreProperties>
</file>