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 du mois de Mars\"/>
    </mc:Choice>
  </mc:AlternateContent>
  <bookViews>
    <workbookView xWindow="0" yWindow="0" windowWidth="12090" windowHeight="7860" activeTab="1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H178" i="4" l="1"/>
  <c r="G178" i="4"/>
  <c r="I178" i="4" s="1"/>
  <c r="H63" i="5" l="1"/>
  <c r="G63" i="5"/>
  <c r="I63" i="5" s="1"/>
  <c r="H177" i="4"/>
  <c r="G177" i="4"/>
  <c r="I177" i="4" s="1"/>
  <c r="H176" i="4" l="1"/>
  <c r="G176" i="4"/>
  <c r="I176" i="4" s="1"/>
  <c r="H175" i="4" l="1"/>
  <c r="G175" i="4"/>
  <c r="I175" i="4" s="1"/>
  <c r="H20" i="6" l="1"/>
  <c r="G20" i="6"/>
  <c r="I20" i="6" s="1"/>
  <c r="H62" i="5"/>
  <c r="G62" i="5"/>
  <c r="I62" i="5" s="1"/>
  <c r="H174" i="4"/>
  <c r="G174" i="4"/>
  <c r="I174" i="4" s="1"/>
  <c r="H173" i="4"/>
  <c r="I173" i="4" s="1"/>
  <c r="G173" i="4"/>
  <c r="H172" i="4" l="1"/>
  <c r="G172" i="4"/>
  <c r="I172" i="4" l="1"/>
  <c r="H61" i="5"/>
  <c r="I61" i="5" s="1"/>
  <c r="G61" i="5"/>
  <c r="H171" i="4"/>
  <c r="G171" i="4"/>
  <c r="I171" i="4" s="1"/>
  <c r="I170" i="4" l="1"/>
  <c r="H170" i="4"/>
  <c r="G170" i="4"/>
  <c r="F170" i="4"/>
  <c r="E170" i="4"/>
  <c r="D170" i="4"/>
  <c r="B170" i="4"/>
  <c r="H169" i="4"/>
  <c r="G169" i="4"/>
  <c r="F169" i="4"/>
  <c r="E169" i="4"/>
  <c r="D169" i="4"/>
  <c r="B169" i="4"/>
  <c r="I169" i="4" l="1"/>
  <c r="H60" i="5"/>
  <c r="G60" i="5"/>
  <c r="F60" i="5"/>
  <c r="E60" i="5"/>
  <c r="D60" i="5"/>
  <c r="B60" i="5"/>
  <c r="H168" i="4"/>
  <c r="G168" i="4"/>
  <c r="F168" i="4"/>
  <c r="E168" i="4"/>
  <c r="D168" i="4"/>
  <c r="B168" i="4"/>
  <c r="H167" i="4"/>
  <c r="I167" i="4" s="1"/>
  <c r="G167" i="4"/>
  <c r="F167" i="4"/>
  <c r="E167" i="4"/>
  <c r="D167" i="4"/>
  <c r="B167" i="4"/>
  <c r="H166" i="4"/>
  <c r="G166" i="4"/>
  <c r="F166" i="4"/>
  <c r="E166" i="4"/>
  <c r="D166" i="4"/>
  <c r="B166" i="4"/>
  <c r="I168" i="4" l="1"/>
  <c r="I166" i="4"/>
  <c r="I60" i="5"/>
  <c r="H59" i="5"/>
  <c r="G59" i="5"/>
  <c r="F59" i="5"/>
  <c r="E59" i="5"/>
  <c r="D59" i="5"/>
  <c r="B59" i="5"/>
  <c r="I59" i="5" s="1"/>
  <c r="H165" i="4"/>
  <c r="G165" i="4"/>
  <c r="F165" i="4"/>
  <c r="E165" i="4"/>
  <c r="D165" i="4"/>
  <c r="B165" i="4"/>
  <c r="H164" i="4"/>
  <c r="G164" i="4"/>
  <c r="F164" i="4"/>
  <c r="E164" i="4"/>
  <c r="D164" i="4"/>
  <c r="B164" i="4"/>
  <c r="I164" i="4" s="1"/>
  <c r="I163" i="4"/>
  <c r="H163" i="4"/>
  <c r="G163" i="4"/>
  <c r="F163" i="4"/>
  <c r="E163" i="4"/>
  <c r="D163" i="4"/>
  <c r="B163" i="4"/>
  <c r="I165" i="4" l="1"/>
  <c r="H19" i="6"/>
  <c r="G19" i="6"/>
  <c r="F19" i="6"/>
  <c r="E19" i="6"/>
  <c r="D19" i="6"/>
  <c r="B19" i="6"/>
  <c r="I19" i="6" s="1"/>
  <c r="H58" i="5"/>
  <c r="G58" i="5"/>
  <c r="F58" i="5"/>
  <c r="I58" i="5" s="1"/>
  <c r="E58" i="5"/>
  <c r="D58" i="5"/>
  <c r="B58" i="5"/>
  <c r="H162" i="4"/>
  <c r="G162" i="4"/>
  <c r="F162" i="4"/>
  <c r="E162" i="4"/>
  <c r="D162" i="4"/>
  <c r="B162" i="4"/>
  <c r="I162" i="4" s="1"/>
  <c r="H161" i="4"/>
  <c r="G161" i="4"/>
  <c r="I161" i="4" s="1"/>
  <c r="F161" i="4"/>
  <c r="E161" i="4"/>
  <c r="D161" i="4"/>
  <c r="B161" i="4"/>
  <c r="H160" i="4"/>
  <c r="G160" i="4"/>
  <c r="F160" i="4"/>
  <c r="E160" i="4"/>
  <c r="D160" i="4"/>
  <c r="B160" i="4"/>
  <c r="I160" i="4" s="1"/>
  <c r="H57" i="5" l="1"/>
  <c r="G57" i="5"/>
  <c r="F57" i="5"/>
  <c r="E57" i="5"/>
  <c r="D57" i="5"/>
  <c r="B57" i="5"/>
  <c r="H159" i="4"/>
  <c r="G159" i="4"/>
  <c r="F159" i="4"/>
  <c r="E159" i="4"/>
  <c r="D159" i="4"/>
  <c r="B159" i="4"/>
  <c r="I159" i="4" s="1"/>
  <c r="I57" i="5" l="1"/>
  <c r="H158" i="4"/>
  <c r="G158" i="4"/>
  <c r="F158" i="4"/>
  <c r="E158" i="4"/>
  <c r="D158" i="4"/>
  <c r="B158" i="4"/>
  <c r="H157" i="4"/>
  <c r="G157" i="4"/>
  <c r="F157" i="4"/>
  <c r="E157" i="4"/>
  <c r="D157" i="4"/>
  <c r="B157" i="4"/>
  <c r="I157" i="4" l="1"/>
  <c r="I158" i="4"/>
  <c r="H56" i="5"/>
  <c r="G56" i="5"/>
  <c r="F56" i="5"/>
  <c r="E56" i="5"/>
  <c r="D56" i="5"/>
  <c r="B56" i="5"/>
  <c r="I56" i="5" s="1"/>
  <c r="H156" i="4"/>
  <c r="G156" i="4"/>
  <c r="F156" i="4"/>
  <c r="I156" i="4" s="1"/>
  <c r="E156" i="4"/>
  <c r="D156" i="4"/>
  <c r="B156" i="4"/>
  <c r="H155" i="4" l="1"/>
  <c r="G155" i="4"/>
  <c r="F155" i="4"/>
  <c r="E155" i="4"/>
  <c r="D155" i="4"/>
  <c r="B155" i="4"/>
  <c r="I155" i="4" s="1"/>
  <c r="H154" i="4" l="1"/>
  <c r="G154" i="4"/>
  <c r="F154" i="4"/>
  <c r="E154" i="4"/>
  <c r="D154" i="4"/>
  <c r="B154" i="4"/>
  <c r="I154" i="4" s="1"/>
  <c r="H55" i="5" l="1"/>
  <c r="I55" i="5" s="1"/>
  <c r="G55" i="5"/>
  <c r="F55" i="5"/>
  <c r="E55" i="5"/>
  <c r="D55" i="5"/>
  <c r="B55" i="5"/>
  <c r="H153" i="4"/>
  <c r="G153" i="4"/>
  <c r="F153" i="4"/>
  <c r="E153" i="4"/>
  <c r="D153" i="4"/>
  <c r="B153" i="4"/>
  <c r="I153" i="4" l="1"/>
  <c r="H152" i="4"/>
  <c r="G152" i="4"/>
  <c r="F152" i="4"/>
  <c r="E152" i="4"/>
  <c r="D152" i="4"/>
  <c r="B152" i="4"/>
  <c r="I152" i="4" l="1"/>
  <c r="H151" i="4"/>
  <c r="G151" i="4"/>
  <c r="F151" i="4"/>
  <c r="E151" i="4"/>
  <c r="D151" i="4"/>
  <c r="B151" i="4"/>
  <c r="I151" i="4" l="1"/>
  <c r="I18" i="6" l="1"/>
  <c r="H18" i="6"/>
  <c r="G18" i="6"/>
  <c r="F18" i="6"/>
  <c r="E18" i="6"/>
  <c r="D18" i="6"/>
  <c r="B18" i="6"/>
  <c r="H54" i="5"/>
  <c r="G54" i="5"/>
  <c r="F54" i="5"/>
  <c r="E54" i="5"/>
  <c r="D54" i="5"/>
  <c r="I54" i="5" s="1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l="1"/>
  <c r="I53" i="5"/>
  <c r="H149" i="4" l="1"/>
  <c r="G149" i="4"/>
  <c r="F149" i="4"/>
  <c r="E149" i="4"/>
  <c r="D149" i="4"/>
  <c r="B149" i="4"/>
  <c r="I149" i="4" l="1"/>
  <c r="H148" i="4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I52" i="5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<sst xmlns="http://schemas.openxmlformats.org/spreadsheetml/2006/main" count="245" uniqueCount="39">
  <si>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</si>
  <si>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</si>
  <si>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</si>
  <si>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</si>
  <si>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</si>
  <si>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</si>
  <si>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</si>
  <si>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</si>
  <si>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</si>
  <si>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</si>
  <si>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</si>
  <si>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</si>
  <si>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</si>
  <si>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</si>
  <si>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</si>
  <si>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</si>
  <si>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</si>
  <si>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</si>
  <si>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</si>
  <si>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</si>
  <si>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</si>
  <si>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</si>
  <si>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</si>
  <si>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</si>
  <si>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</si>
  <si>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</si>
  <si>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</si>
  <si>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</si>
  <si>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</si>
  <si>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</si>
  <si>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</si>
  <si>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</si>
  <si>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</si>
  <si>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</si>
  <si>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</si>
  <si>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</si>
  <si>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Source: Compilé sur base des données des établissements financiers(FPHU jusqu'à fin Aout 2021 et BNDE)</t>
  </si>
  <si>
    <t>2021</t>
  </si>
  <si>
    <t>Q1-2022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</si>
</sst>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1" workbookViewId="0">
      <selection activeCell="E19" sqref="E19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26</v>
      </c>
    </row>
    <row r="3" spans="2:5" x14ac:dyDescent="0.25">
      <c r="B3" s="20" t="s">
        <v>27</v>
      </c>
      <c r="C3"/>
    </row>
    <row r="4" spans="2:5" x14ac:dyDescent="0.25">
      <c r="B4" s="20" t="s">
        <v>28</v>
      </c>
    </row>
    <row r="5" spans="2:5" x14ac:dyDescent="0.25">
      <c r="B5" s="20" t="s">
        <v>29</v>
      </c>
    </row>
    <row r="7" spans="2:5" ht="18.75" x14ac:dyDescent="0.3">
      <c r="B7" s="4" t="s">
        <v>2</v>
      </c>
    </row>
    <row r="8" spans="2:5" ht="18.75" x14ac:dyDescent="0.3">
      <c r="B8" s="6" t="s">
        <v>17</v>
      </c>
    </row>
    <row r="10" spans="2:5" x14ac:dyDescent="0.25">
      <c r="B10" s="5" t="s">
        <v>3</v>
      </c>
    </row>
    <row r="11" spans="2:5" ht="16.5" thickBot="1" x14ac:dyDescent="0.3">
      <c r="B11" s="7" t="s">
        <v>4</v>
      </c>
      <c r="C11" s="7" t="s">
        <v>5</v>
      </c>
      <c r="D11" s="7" t="s">
        <v>6</v>
      </c>
      <c r="E11" s="7" t="s">
        <v>33</v>
      </c>
    </row>
    <row r="12" spans="2:5" x14ac:dyDescent="0.25">
      <c r="B12" s="8" t="s">
        <v>7</v>
      </c>
      <c r="C12" s="9" t="s">
        <v>15</v>
      </c>
      <c r="D12" s="9" t="s">
        <v>7</v>
      </c>
      <c r="E12" s="10">
        <v>44681</v>
      </c>
    </row>
    <row r="13" spans="2:5" x14ac:dyDescent="0.25">
      <c r="B13" s="8" t="s">
        <v>8</v>
      </c>
      <c r="C13" s="9" t="s">
        <v>15</v>
      </c>
      <c r="D13" s="9" t="s">
        <v>8</v>
      </c>
      <c r="E13" s="11" t="s">
        <v>38</v>
      </c>
    </row>
    <row r="14" spans="2:5" x14ac:dyDescent="0.25">
      <c r="B14" s="8" t="s">
        <v>9</v>
      </c>
      <c r="C14" s="9" t="s">
        <v>15</v>
      </c>
      <c r="D14" s="9" t="s">
        <v>9</v>
      </c>
      <c r="E14" s="12" t="s">
        <v>37</v>
      </c>
    </row>
    <row r="16" spans="2:5" x14ac:dyDescent="0.25">
      <c r="B16" s="5" t="s">
        <v>10</v>
      </c>
      <c r="C16" s="13"/>
    </row>
    <row r="17" spans="2:3" x14ac:dyDescent="0.25">
      <c r="B17" s="5" t="s">
        <v>11</v>
      </c>
      <c r="C17" s="13"/>
    </row>
    <row r="19" spans="2:3" x14ac:dyDescent="0.25">
      <c r="B19" s="5" t="s">
        <v>12</v>
      </c>
      <c r="C19" s="5" t="s">
        <v>16</v>
      </c>
    </row>
    <row r="20" spans="2:3" x14ac:dyDescent="0.25">
      <c r="B20" s="5" t="s">
        <v>13</v>
      </c>
      <c r="C20" s="14" t="s">
        <v>14</v>
      </c>
    </row>
    <row r="23" spans="2:3" ht="31.5" x14ac:dyDescent="0.25">
      <c r="B23" s="50" t="s">
        <v>34</v>
      </c>
    </row>
    <row r="24" spans="2:3" x14ac:dyDescent="0.25">
      <c r="B24" s="48" t="s">
        <v>18</v>
      </c>
      <c r="C24" s="15"/>
    </row>
    <row r="25" spans="2:3" x14ac:dyDescent="0.25">
      <c r="B25" s="48" t="s">
        <v>19</v>
      </c>
      <c r="C25" s="16"/>
    </row>
    <row r="26" spans="2:3" x14ac:dyDescent="0.25">
      <c r="B26" s="49" t="s">
        <v>20</v>
      </c>
      <c r="C26" s="1"/>
    </row>
    <row r="27" spans="2:3" x14ac:dyDescent="0.25">
      <c r="B27" s="49" t="s">
        <v>21</v>
      </c>
      <c r="C27" s="15"/>
    </row>
    <row r="28" spans="2:3" x14ac:dyDescent="0.25">
      <c r="B28" s="49" t="s">
        <v>22</v>
      </c>
      <c r="C28" s="2"/>
    </row>
    <row r="29" spans="2:3" x14ac:dyDescent="0.25">
      <c r="B29" s="49" t="s">
        <v>23</v>
      </c>
      <c r="C29" s="2"/>
    </row>
    <row r="30" spans="2:3" x14ac:dyDescent="0.25">
      <c r="B30" s="49" t="s">
        <v>24</v>
      </c>
      <c r="C30" s="18"/>
    </row>
    <row r="31" spans="2:3" x14ac:dyDescent="0.25">
      <c r="B31" s="48" t="s">
        <v>25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80"/>
  <sheetViews>
    <sheetView tabSelected="1" workbookViewId="0">
      <pane xSplit="1" ySplit="6" topLeftCell="H171" activePane="bottomRight" state="frozen"/>
      <selection pane="topRight" activeCell="B1" sqref="B1"/>
      <selection pane="bottomLeft" activeCell="A7" sqref="A7"/>
      <selection pane="bottomRight" activeCell="A177" sqref="A177:XFD178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75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1">
        <v>43861</v>
      </c>
      <c r="B151" s="39">
        <f>1275.6+2255.9</f>
        <v>3531.5</v>
      </c>
      <c r="C151" s="39">
        <v>0</v>
      </c>
      <c r="D151" s="39">
        <f>7275.5+6130.4</f>
        <v>13405.9</v>
      </c>
      <c r="E151" s="39">
        <f>5494.8+93929.9</f>
        <v>99424.7</v>
      </c>
      <c r="F151" s="39">
        <f>3070.4+331.2</f>
        <v>3401.6</v>
      </c>
      <c r="G151" s="39">
        <f>3062.2+21223.7-2767.7+23053.6+4974.3</f>
        <v>49546.100000000006</v>
      </c>
      <c r="H151" s="40">
        <f>11701.7+2767.7+1573.4+19570.6</f>
        <v>35613.4</v>
      </c>
      <c r="I151" s="39">
        <f t="shared" si="4"/>
        <v>204923.2</v>
      </c>
    </row>
    <row r="152" spans="1:9" x14ac:dyDescent="0.25">
      <c r="A152" s="41">
        <v>43862</v>
      </c>
      <c r="B152" s="39">
        <f>1285+2258.9</f>
        <v>3543.9</v>
      </c>
      <c r="C152" s="39">
        <v>0</v>
      </c>
      <c r="D152" s="39">
        <f>7298.7+6175.5</f>
        <v>13474.2</v>
      </c>
      <c r="E152" s="39">
        <f>5470.1+95898.2</f>
        <v>101368.3</v>
      </c>
      <c r="F152" s="39">
        <f>3088+331.2</f>
        <v>3419.2</v>
      </c>
      <c r="G152" s="39">
        <f>3200.7+21356.3-2895.9+23053.6+5300.4</f>
        <v>50015.1</v>
      </c>
      <c r="H152" s="40">
        <f>11887.9+2895.9+1614.7+19898</f>
        <v>36296.5</v>
      </c>
      <c r="I152" s="39">
        <f t="shared" si="4"/>
        <v>208117.2</v>
      </c>
    </row>
    <row r="153" spans="1:9" x14ac:dyDescent="0.25">
      <c r="A153" s="41">
        <v>43921</v>
      </c>
      <c r="B153" s="39">
        <f>1449.5+2270.3</f>
        <v>3719.8</v>
      </c>
      <c r="C153" s="39">
        <v>0</v>
      </c>
      <c r="D153" s="39">
        <f>7323.6+6202.5</f>
        <v>13526.1</v>
      </c>
      <c r="E153" s="39">
        <f>7493.3+98177.6</f>
        <v>105670.90000000001</v>
      </c>
      <c r="F153" s="39">
        <f>3107.3+331.2</f>
        <v>3438.5</v>
      </c>
      <c r="G153" s="39">
        <f>505.2+23162.6-2633+25865.7+1007.6</f>
        <v>47908.1</v>
      </c>
      <c r="H153" s="40">
        <f>12045.1+2633+2155.2+19962.9</f>
        <v>36796.199999999997</v>
      </c>
      <c r="I153" s="39">
        <f t="shared" si="4"/>
        <v>211059.60000000003</v>
      </c>
    </row>
    <row r="154" spans="1:9" x14ac:dyDescent="0.25">
      <c r="A154" s="41">
        <v>43922</v>
      </c>
      <c r="B154" s="39">
        <f>1771+2278.9</f>
        <v>4049.9</v>
      </c>
      <c r="C154" s="39">
        <v>0</v>
      </c>
      <c r="D154" s="39">
        <f>9354.8+6292.6</f>
        <v>15647.4</v>
      </c>
      <c r="E154" s="39">
        <f>6524.5+100324.3</f>
        <v>106848.8</v>
      </c>
      <c r="F154" s="39">
        <f>2880.6+331.2</f>
        <v>3211.7999999999997</v>
      </c>
      <c r="G154" s="39">
        <f>727+23226.1-2672.4+25865.7+1837.8</f>
        <v>48984.2</v>
      </c>
      <c r="H154" s="40">
        <f>10792.8+2672.4+1606.3+20105.3</f>
        <v>35176.799999999996</v>
      </c>
      <c r="I154" s="39">
        <f t="shared" si="4"/>
        <v>213918.9</v>
      </c>
    </row>
    <row r="155" spans="1:9" x14ac:dyDescent="0.25">
      <c r="A155" s="41">
        <v>43982</v>
      </c>
      <c r="B155" s="39">
        <f>1279.6+2285.9</f>
        <v>3565.5</v>
      </c>
      <c r="C155" s="39">
        <v>0</v>
      </c>
      <c r="D155" s="39">
        <f>8378.4+6244.3</f>
        <v>14622.7</v>
      </c>
      <c r="E155" s="39">
        <f>8534.6+102520.5</f>
        <v>111055.1</v>
      </c>
      <c r="F155" s="39">
        <f>2897.6+331.2</f>
        <v>3228.7999999999997</v>
      </c>
      <c r="G155" s="39">
        <f>887.1+23311.4-2752.8+25865.7+2256.7</f>
        <v>49568.1</v>
      </c>
      <c r="H155" s="40">
        <f>10629.5+2752.8+1640.7+20501.2</f>
        <v>35524.199999999997</v>
      </c>
      <c r="I155" s="39">
        <f t="shared" si="4"/>
        <v>217564.40000000002</v>
      </c>
    </row>
    <row r="156" spans="1:9" x14ac:dyDescent="0.25">
      <c r="A156" s="41">
        <v>44012</v>
      </c>
      <c r="B156" s="39">
        <f>1287.7+2294.3</f>
        <v>3582</v>
      </c>
      <c r="C156" s="39">
        <v>0</v>
      </c>
      <c r="D156" s="39">
        <f>1291+6290.6</f>
        <v>7581.6</v>
      </c>
      <c r="E156" s="39">
        <f>17136.6+107279</f>
        <v>124415.6</v>
      </c>
      <c r="F156" s="39">
        <f>2929.4+331.2</f>
        <v>3260.6</v>
      </c>
      <c r="G156" s="39">
        <f>1308.8+23339.5-2776.5+25865.7+2876.4</f>
        <v>50613.9</v>
      </c>
      <c r="H156" s="40">
        <f>10659.6+2776.5+1879.6+20746.1</f>
        <v>36061.800000000003</v>
      </c>
      <c r="I156" s="39">
        <f t="shared" si="4"/>
        <v>225515.5</v>
      </c>
    </row>
    <row r="157" spans="1:9" x14ac:dyDescent="0.25">
      <c r="A157" s="41">
        <v>44043</v>
      </c>
      <c r="B157" s="39">
        <f>1296.2+2325.7</f>
        <v>3621.8999999999996</v>
      </c>
      <c r="C157" s="39">
        <v>0</v>
      </c>
      <c r="D157" s="39">
        <f>3287.3+6254.4</f>
        <v>9541.7000000000007</v>
      </c>
      <c r="E157" s="39">
        <f>15175.7+114674.5</f>
        <v>129850.2</v>
      </c>
      <c r="F157" s="39">
        <f>2947+331.2</f>
        <v>3278.2</v>
      </c>
      <c r="G157" s="39">
        <f>1562.5+23326.7-2779.7+25865.8+3279.8</f>
        <v>51255.100000000006</v>
      </c>
      <c r="H157" s="40">
        <f>10731+2779.7+3370.5+21337.7</f>
        <v>38218.9</v>
      </c>
      <c r="I157" s="39">
        <f t="shared" si="4"/>
        <v>235766</v>
      </c>
    </row>
    <row r="158" spans="1:9" x14ac:dyDescent="0.25">
      <c r="A158" s="41">
        <v>44074</v>
      </c>
      <c r="B158" s="39">
        <f>1304.7+2329.2</f>
        <v>3633.8999999999996</v>
      </c>
      <c r="C158" s="39">
        <v>0</v>
      </c>
      <c r="D158" s="39">
        <f>10453.9+6167.9</f>
        <v>16621.8</v>
      </c>
      <c r="E158" s="39">
        <f>8024.9+116166</f>
        <v>124190.9</v>
      </c>
      <c r="F158" s="39">
        <f>2964.6+331.2</f>
        <v>3295.7999999999997</v>
      </c>
      <c r="G158" s="39">
        <f>1783.5+23338.6-2786.2+25865.7+4350.6</f>
        <v>52552.2</v>
      </c>
      <c r="H158" s="40">
        <f>10704.6+2786.2+2173+21281.3</f>
        <v>36945.1</v>
      </c>
      <c r="I158" s="39">
        <f t="shared" si="4"/>
        <v>237239.69999999998</v>
      </c>
    </row>
    <row r="159" spans="1:9" x14ac:dyDescent="0.25">
      <c r="A159" s="41">
        <v>44104</v>
      </c>
      <c r="B159" s="39">
        <f>1312.9+2333.9</f>
        <v>3646.8</v>
      </c>
      <c r="C159" s="39">
        <v>0</v>
      </c>
      <c r="D159" s="39">
        <f>3289.1+6230.2</f>
        <v>9519.2999999999993</v>
      </c>
      <c r="E159" s="39">
        <f>15222+121951</f>
        <v>137173</v>
      </c>
      <c r="F159" s="39">
        <f>3006.7+331.2</f>
        <v>3337.8999999999996</v>
      </c>
      <c r="G159" s="39">
        <f>2034.4+23352.7-2796.7+25865.7+5313.7</f>
        <v>53769.8</v>
      </c>
      <c r="H159" s="40">
        <f>10553.2+2796.7+2137.2+21347.6</f>
        <v>36834.699999999997</v>
      </c>
      <c r="I159" s="39">
        <f t="shared" si="4"/>
        <v>244281.5</v>
      </c>
    </row>
    <row r="160" spans="1:9" x14ac:dyDescent="0.25">
      <c r="A160" s="41">
        <v>44135</v>
      </c>
      <c r="B160" s="39">
        <f>1321.4+2343.5</f>
        <v>3664.9</v>
      </c>
      <c r="C160" s="39">
        <v>0</v>
      </c>
      <c r="D160" s="39">
        <f>10502.9+6088.7</f>
        <v>16591.599999999999</v>
      </c>
      <c r="E160" s="39">
        <f>8049+124049.9</f>
        <v>132098.9</v>
      </c>
      <c r="F160" s="39">
        <f>3024.2+331.2</f>
        <v>3355.3999999999996</v>
      </c>
      <c r="G160" s="39">
        <f>2265.2+23393-2822.3+25865.7+6061.5</f>
        <v>54763.100000000006</v>
      </c>
      <c r="H160" s="40">
        <f>10411.4+2822.3+2876.7+21402.5</f>
        <v>37512.9</v>
      </c>
      <c r="I160" s="39">
        <f t="shared" si="4"/>
        <v>247986.8</v>
      </c>
    </row>
    <row r="161" spans="1:9" x14ac:dyDescent="0.25">
      <c r="A161" s="41">
        <v>44165</v>
      </c>
      <c r="B161" s="39">
        <f>1329.6+2354.5</f>
        <v>3684.1</v>
      </c>
      <c r="C161" s="39">
        <v>0</v>
      </c>
      <c r="D161" s="39">
        <f>10526.4+10420.1</f>
        <v>20946.5</v>
      </c>
      <c r="E161" s="39">
        <f>8634.4+122714.6</f>
        <v>131349</v>
      </c>
      <c r="F161" s="39">
        <f>2746.8+331.2</f>
        <v>3078</v>
      </c>
      <c r="G161" s="39">
        <f>2566.1+22834.5-2361.8+25865.8+6879.8</f>
        <v>55784.4</v>
      </c>
      <c r="H161" s="40">
        <f>10666.8+2361.8+2823.8+21674.1</f>
        <v>37526.5</v>
      </c>
      <c r="I161" s="39">
        <f t="shared" si="4"/>
        <v>252368.5</v>
      </c>
    </row>
    <row r="162" spans="1:9" x14ac:dyDescent="0.25">
      <c r="A162" s="41">
        <v>44196</v>
      </c>
      <c r="B162" s="39">
        <f>3540.3+2349.3</f>
        <v>5889.6</v>
      </c>
      <c r="C162" s="39">
        <v>0</v>
      </c>
      <c r="D162" s="39">
        <f>7500.1+10599.9</f>
        <v>18100</v>
      </c>
      <c r="E162" s="39">
        <f>12350.3+127854</f>
        <v>140204.29999999999</v>
      </c>
      <c r="F162" s="39">
        <f>2780.7+331.2</f>
        <v>3111.8999999999996</v>
      </c>
      <c r="G162" s="39">
        <f>2775.7+22620.3-2149.9+25865.8+7644.2</f>
        <v>56756.099999999991</v>
      </c>
      <c r="H162" s="40">
        <f>10286.8+2149.9+2229.5+21747.8</f>
        <v>36414</v>
      </c>
      <c r="I162" s="39">
        <f t="shared" si="4"/>
        <v>260475.89999999997</v>
      </c>
    </row>
    <row r="163" spans="1:9" x14ac:dyDescent="0.25">
      <c r="A163" s="41">
        <v>44227</v>
      </c>
      <c r="B163" s="39">
        <f>4111.3+2358.2</f>
        <v>6469.5</v>
      </c>
      <c r="C163" s="39">
        <v>0</v>
      </c>
      <c r="D163" s="39">
        <f>10533.1+10423</f>
        <v>20956.099999999999</v>
      </c>
      <c r="E163" s="39">
        <f>9357.8+131809.1</f>
        <v>141166.9</v>
      </c>
      <c r="F163" s="39">
        <f>2798.3+331.2</f>
        <v>3129.5</v>
      </c>
      <c r="G163" s="39">
        <f>2890+22661.8-2189.4+25865.8+7668.3</f>
        <v>56896.5</v>
      </c>
      <c r="H163" s="40">
        <f>10141.9+2189.4+2783.5+22063.7</f>
        <v>37178.5</v>
      </c>
      <c r="I163" s="39">
        <f t="shared" si="4"/>
        <v>265797</v>
      </c>
    </row>
    <row r="164" spans="1:9" ht="19.5" customHeight="1" x14ac:dyDescent="0.25">
      <c r="A164" s="41">
        <v>44255</v>
      </c>
      <c r="B164" s="39">
        <f>4230.6+2359.5</f>
        <v>6590.1</v>
      </c>
      <c r="C164" s="39">
        <v>0</v>
      </c>
      <c r="D164" s="39">
        <f>10554.5+10400.1</f>
        <v>20954.599999999999</v>
      </c>
      <c r="E164" s="39">
        <f>9340.7+134735.7</f>
        <v>144076.40000000002</v>
      </c>
      <c r="F164" s="39">
        <f>2814.2+331.2</f>
        <v>3145.3999999999996</v>
      </c>
      <c r="G164" s="39">
        <f>3072.1+22653.3-2179.2+25865.7+8583.7</f>
        <v>57995.599999999991</v>
      </c>
      <c r="H164" s="40">
        <f>10344.2+2179.2+2275.8+22270.5</f>
        <v>37069.699999999997</v>
      </c>
      <c r="I164" s="39">
        <f t="shared" si="4"/>
        <v>269831.80000000005</v>
      </c>
    </row>
    <row r="165" spans="1:9" x14ac:dyDescent="0.25">
      <c r="A165" s="41">
        <v>44286</v>
      </c>
      <c r="B165" s="39">
        <f>8259.6+2366.1</f>
        <v>10625.7</v>
      </c>
      <c r="C165" s="39">
        <v>0</v>
      </c>
      <c r="D165" s="39">
        <f>8573.6+10336.4</f>
        <v>18910</v>
      </c>
      <c r="E165" s="39">
        <f>9295.7+140230.8</f>
        <v>149526.5</v>
      </c>
      <c r="F165" s="39">
        <f>2852.1+331.2</f>
        <v>3183.2999999999997</v>
      </c>
      <c r="G165" s="39">
        <f>427.4+24685.1-2171+30066.7+3387.7</f>
        <v>56395.899999999994</v>
      </c>
      <c r="H165" s="40">
        <f>10804.4+2171+2415.8+22369.4</f>
        <v>37760.600000000006</v>
      </c>
      <c r="I165" s="39">
        <f t="shared" si="4"/>
        <v>276402</v>
      </c>
    </row>
    <row r="166" spans="1:9" x14ac:dyDescent="0.25">
      <c r="A166" s="41">
        <v>44316</v>
      </c>
      <c r="B166" s="39">
        <f>10253.5+2369.3</f>
        <v>12622.8</v>
      </c>
      <c r="C166" s="39">
        <v>0</v>
      </c>
      <c r="D166" s="39">
        <f>8598.1+10272.4</f>
        <v>18870.5</v>
      </c>
      <c r="E166" s="39">
        <f>8859+142047.5</f>
        <v>150906.5</v>
      </c>
      <c r="F166" s="39">
        <f>2562.9+331.2</f>
        <v>2894.1</v>
      </c>
      <c r="G166" s="39">
        <f>666.9+24232.9-1662.6+30066.7+3563.9</f>
        <v>56867.80000000001</v>
      </c>
      <c r="H166" s="40">
        <f>11497.1+1662.6+2441.4+22338</f>
        <v>37939.1</v>
      </c>
      <c r="I166" s="39">
        <f t="shared" si="4"/>
        <v>280100.8</v>
      </c>
    </row>
    <row r="167" spans="1:9" x14ac:dyDescent="0.25">
      <c r="A167" s="41">
        <v>44347</v>
      </c>
      <c r="B167" s="39">
        <f>10384.7+2354.3</f>
        <v>12739</v>
      </c>
      <c r="C167" s="39">
        <v>0</v>
      </c>
      <c r="D167" s="39">
        <f>8623.4+10200.3</f>
        <v>18823.699999999997</v>
      </c>
      <c r="E167" s="39">
        <f>9857+147812.8</f>
        <v>157669.79999999999</v>
      </c>
      <c r="F167" s="39">
        <f>2579.9+331.2</f>
        <v>2911.1</v>
      </c>
      <c r="G167" s="39">
        <f>1064.9+24313.5-1736.8+30066.7+4179.5</f>
        <v>57887.8</v>
      </c>
      <c r="H167" s="40">
        <f>13215.1+1736.8+2045+22654.4</f>
        <v>39651.300000000003</v>
      </c>
      <c r="I167" s="39">
        <f t="shared" si="4"/>
        <v>289682.7</v>
      </c>
    </row>
    <row r="168" spans="1:9" x14ac:dyDescent="0.25">
      <c r="A168" s="41">
        <v>44377</v>
      </c>
      <c r="B168" s="39">
        <f>13474.4+2345.3</f>
        <v>15819.7</v>
      </c>
      <c r="C168" s="39">
        <v>0</v>
      </c>
      <c r="D168" s="39">
        <f>13405.8+9635.9</f>
        <v>23041.699999999997</v>
      </c>
      <c r="E168" s="39">
        <f>9879.6+152641.9</f>
        <v>162521.5</v>
      </c>
      <c r="F168" s="39">
        <f>2623.4+0</f>
        <v>2623.4</v>
      </c>
      <c r="G168" s="39">
        <f>1320.9+24393.4-1806.7+30808.4+5125.1</f>
        <v>59841.1</v>
      </c>
      <c r="H168" s="40">
        <f>16183.5+1806.7+2955.3+22447.2</f>
        <v>43392.7</v>
      </c>
      <c r="I168" s="39">
        <f t="shared" si="4"/>
        <v>307240.09999999998</v>
      </c>
    </row>
    <row r="169" spans="1:9" x14ac:dyDescent="0.25">
      <c r="A169" s="41">
        <v>44408</v>
      </c>
      <c r="B169" s="39">
        <f>14910.4+4353.7</f>
        <v>19264.099999999999</v>
      </c>
      <c r="C169" s="39">
        <v>0</v>
      </c>
      <c r="D169" s="39">
        <f>13487.3+9549.5</f>
        <v>23036.799999999999</v>
      </c>
      <c r="E169" s="39">
        <f>9842.9+153900.2</f>
        <v>163743.1</v>
      </c>
      <c r="F169" s="39">
        <f>2641+0</f>
        <v>2641</v>
      </c>
      <c r="G169" s="39">
        <f>1572.3+24536.1-1853.5+30808.4+6068.2</f>
        <v>61131.5</v>
      </c>
      <c r="H169" s="40">
        <f>13041.8+1853.5+2706.9+22896.9</f>
        <v>40499.100000000006</v>
      </c>
      <c r="I169" s="39">
        <f t="shared" si="4"/>
        <v>310315.59999999998</v>
      </c>
    </row>
    <row r="170" spans="1:9" x14ac:dyDescent="0.25">
      <c r="A170" s="41">
        <v>44439</v>
      </c>
      <c r="B170" s="39">
        <f>15122.1+10046.3</f>
        <v>25168.400000000001</v>
      </c>
      <c r="C170" s="39">
        <v>0</v>
      </c>
      <c r="D170" s="39">
        <f>16554.3+4374.2</f>
        <v>20928.5</v>
      </c>
      <c r="E170" s="39">
        <f>10863.9+172187.8</f>
        <v>183051.69999999998</v>
      </c>
      <c r="F170" s="39">
        <f>0+2658.5</f>
        <v>2658.5</v>
      </c>
      <c r="G170" s="39">
        <f>4611.6+24614.3-1928.5+5161.7+30808.4</f>
        <v>63267.5</v>
      </c>
      <c r="H170" s="40">
        <f>17610.1+1928.5+2646.1+22808.9</f>
        <v>44993.599999999999</v>
      </c>
      <c r="I170" s="39">
        <f t="shared" si="4"/>
        <v>340068.19999999995</v>
      </c>
    </row>
    <row r="171" spans="1:9" x14ac:dyDescent="0.25">
      <c r="A171" s="41">
        <v>44440</v>
      </c>
      <c r="B171" s="39">
        <v>17265</v>
      </c>
      <c r="C171" s="39">
        <v>0</v>
      </c>
      <c r="D171" s="39">
        <v>16502.599999999999</v>
      </c>
      <c r="E171" s="39">
        <v>10854.8</v>
      </c>
      <c r="F171" s="39">
        <v>2695.2</v>
      </c>
      <c r="G171" s="39">
        <f>5080.6+24691.7-1995.9</f>
        <v>27776.400000000001</v>
      </c>
      <c r="H171" s="40">
        <f>15355.2+1995.9</f>
        <v>17351.100000000002</v>
      </c>
      <c r="I171" s="39">
        <f t="shared" si="4"/>
        <v>92445.1</v>
      </c>
    </row>
    <row r="172" spans="1:9" x14ac:dyDescent="0.25">
      <c r="A172" s="41">
        <v>44500</v>
      </c>
      <c r="B172" s="39">
        <v>17741.2</v>
      </c>
      <c r="C172" s="39">
        <v>0</v>
      </c>
      <c r="D172" s="39">
        <v>16453</v>
      </c>
      <c r="E172" s="39">
        <v>10940.8</v>
      </c>
      <c r="F172" s="39">
        <v>2490</v>
      </c>
      <c r="G172" s="39">
        <f>5404.4+24747.2-2036.2</f>
        <v>28115.399999999998</v>
      </c>
      <c r="H172" s="40">
        <f>14632+2036.2</f>
        <v>16668.2</v>
      </c>
      <c r="I172" s="39">
        <f t="shared" si="4"/>
        <v>92408.599999999991</v>
      </c>
    </row>
    <row r="173" spans="1:9" x14ac:dyDescent="0.25">
      <c r="A173" s="41">
        <v>44501</v>
      </c>
      <c r="B173" s="39">
        <v>18356.5</v>
      </c>
      <c r="C173" s="39">
        <v>0</v>
      </c>
      <c r="D173" s="39">
        <v>16513.599999999999</v>
      </c>
      <c r="E173" s="39">
        <v>10900.5</v>
      </c>
      <c r="F173" s="39">
        <v>2426</v>
      </c>
      <c r="G173" s="39">
        <f>5793.3+24798.3-2077.9</f>
        <v>28513.699999999997</v>
      </c>
      <c r="H173" s="40">
        <f>14600.1+2077.9</f>
        <v>16678</v>
      </c>
      <c r="I173" s="39">
        <f t="shared" si="4"/>
        <v>93388.299999999988</v>
      </c>
    </row>
    <row r="174" spans="1:9" x14ac:dyDescent="0.25">
      <c r="A174" s="41">
        <v>44532</v>
      </c>
      <c r="B174" s="39">
        <v>19315.899999999998</v>
      </c>
      <c r="C174" s="39">
        <v>0</v>
      </c>
      <c r="D174" s="39">
        <v>19417</v>
      </c>
      <c r="E174" s="39">
        <v>10925.7</v>
      </c>
      <c r="F174" s="39">
        <v>2453.8000000000002</v>
      </c>
      <c r="G174" s="39">
        <f>6077.8+24741.2-2030.8</f>
        <v>28788.2</v>
      </c>
      <c r="H174" s="40">
        <f>13641.1+2030.8</f>
        <v>15671.9</v>
      </c>
      <c r="I174" s="39">
        <f t="shared" si="4"/>
        <v>96572.499999999985</v>
      </c>
    </row>
    <row r="175" spans="1:9" x14ac:dyDescent="0.25">
      <c r="A175" s="41">
        <v>44564</v>
      </c>
      <c r="B175" s="39">
        <v>20279.2</v>
      </c>
      <c r="C175" s="39">
        <v>0</v>
      </c>
      <c r="D175" s="39">
        <v>19479.8</v>
      </c>
      <c r="E175" s="39">
        <v>10953.3</v>
      </c>
      <c r="F175" s="39">
        <v>2467.8000000000002</v>
      </c>
      <c r="G175" s="39">
        <f>6307.4+24910.6-2198.4</f>
        <v>29019.599999999999</v>
      </c>
      <c r="H175" s="40">
        <f>14729.1+2198.4</f>
        <v>16927.5</v>
      </c>
      <c r="I175" s="39">
        <f t="shared" si="4"/>
        <v>99127.200000000012</v>
      </c>
    </row>
    <row r="176" spans="1:9" x14ac:dyDescent="0.25">
      <c r="A176" s="41">
        <v>44596</v>
      </c>
      <c r="B176" s="39">
        <v>20840.900000000001</v>
      </c>
      <c r="C176" s="39">
        <v>0</v>
      </c>
      <c r="D176" s="39">
        <v>19531.599999999999</v>
      </c>
      <c r="E176" s="39">
        <v>11933.4</v>
      </c>
      <c r="F176" s="39">
        <v>2480.5</v>
      </c>
      <c r="G176" s="39">
        <f>6813.2+24971-2256.2</f>
        <v>29528</v>
      </c>
      <c r="H176" s="40">
        <f>14351.2+2256.2</f>
        <v>16607.400000000001</v>
      </c>
      <c r="I176" s="39">
        <f t="shared" ref="I176" si="5">SUM(B176:H176)</f>
        <v>100921.79999999999</v>
      </c>
    </row>
    <row r="177" spans="1:9" x14ac:dyDescent="0.25">
      <c r="A177" s="41">
        <v>44628</v>
      </c>
      <c r="B177" s="39">
        <v>21074.100000000002</v>
      </c>
      <c r="C177" s="39">
        <v>0</v>
      </c>
      <c r="D177" s="39">
        <v>19507.7</v>
      </c>
      <c r="E177" s="39">
        <v>14933.6</v>
      </c>
      <c r="F177" s="39">
        <v>2511.8000000000002</v>
      </c>
      <c r="G177" s="39">
        <f>1431+30354.4-2210.3</f>
        <v>29575.100000000002</v>
      </c>
      <c r="H177" s="40">
        <f>12706.9+2210.3</f>
        <v>14917.2</v>
      </c>
      <c r="I177" s="39">
        <f t="shared" ref="I177" si="6">SUM(B177:H177)</f>
        <v>102519.5</v>
      </c>
    </row>
    <row r="178" spans="1:9" x14ac:dyDescent="0.25">
      <c r="A178" s="41">
        <v>44660</v>
      </c>
      <c r="B178" s="39">
        <v>21919.1</v>
      </c>
      <c r="C178" s="39">
        <v>0</v>
      </c>
      <c r="D178" s="39">
        <v>19574.099999999999</v>
      </c>
      <c r="E178" s="39">
        <v>14989.9</v>
      </c>
      <c r="F178" s="39">
        <v>2244.9</v>
      </c>
      <c r="G178" s="39">
        <f>1748.6+30431.1-2272.1</f>
        <v>29907.599999999999</v>
      </c>
      <c r="H178" s="40">
        <f>12958.5+2272.1</f>
        <v>15230.6</v>
      </c>
      <c r="I178" s="39">
        <f t="shared" ref="I178" si="7">SUM(B178:H178)</f>
        <v>103866.20000000001</v>
      </c>
    </row>
    <row r="179" spans="1:9" x14ac:dyDescent="0.25">
      <c r="A179" s="42" t="s">
        <v>0</v>
      </c>
      <c r="B179" s="40"/>
      <c r="C179" s="40"/>
      <c r="D179" s="43"/>
      <c r="E179" s="40"/>
      <c r="F179" s="43"/>
      <c r="G179" s="43"/>
      <c r="H179" s="43"/>
      <c r="I179" s="39"/>
    </row>
    <row r="180" spans="1:9" x14ac:dyDescent="0.25">
      <c r="A180" s="54" t="s">
        <v>36</v>
      </c>
      <c r="B180" s="55"/>
      <c r="C180" s="55"/>
      <c r="D180" s="55"/>
      <c r="E180" s="55"/>
      <c r="F180" s="55"/>
      <c r="G180" s="55"/>
      <c r="H180" s="55"/>
      <c r="I180" s="56"/>
    </row>
  </sheetData>
  <mergeCells count="2">
    <mergeCell ref="A4:I4"/>
    <mergeCell ref="A180:I18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5"/>
  <sheetViews>
    <sheetView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A62" sqref="A62:XFD63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1">
        <v>43921</v>
      </c>
      <c r="B55" s="39">
        <f>1449.5+2270.3</f>
        <v>3719.8</v>
      </c>
      <c r="C55" s="39">
        <v>0</v>
      </c>
      <c r="D55" s="39">
        <f>7323.6+6202.5</f>
        <v>13526.1</v>
      </c>
      <c r="E55" s="39">
        <f>7493.3+98177.6</f>
        <v>105670.90000000001</v>
      </c>
      <c r="F55" s="39">
        <f>3107.3+331.2</f>
        <v>3438.5</v>
      </c>
      <c r="G55" s="39">
        <f>505.2+23162.6-2633+25865.7+1007.6</f>
        <v>47908.1</v>
      </c>
      <c r="H55" s="40">
        <f>12045.1+2633+2155.2+19962.9</f>
        <v>36796.199999999997</v>
      </c>
      <c r="I55" s="39">
        <f t="shared" ref="I55" si="7">SUM(B55:H55)</f>
        <v>211059.60000000003</v>
      </c>
    </row>
    <row r="56" spans="1:9" x14ac:dyDescent="0.25">
      <c r="A56" s="41">
        <v>44012</v>
      </c>
      <c r="B56" s="39">
        <f>1287.7+2294.3</f>
        <v>3582</v>
      </c>
      <c r="C56" s="39">
        <v>0</v>
      </c>
      <c r="D56" s="39">
        <f>1291+6290.6</f>
        <v>7581.6</v>
      </c>
      <c r="E56" s="39">
        <f>17136.6+107279</f>
        <v>124415.6</v>
      </c>
      <c r="F56" s="39">
        <f>2929.4+331.2</f>
        <v>3260.6</v>
      </c>
      <c r="G56" s="39">
        <f>1308.8+23339.5-2776.5+25865.7+2876.4</f>
        <v>50613.9</v>
      </c>
      <c r="H56" s="40">
        <f>10659.6+2776.5+1879.6+20746.1</f>
        <v>36061.800000000003</v>
      </c>
      <c r="I56" s="39">
        <f t="shared" ref="I56" si="8">SUM(B56:H56)</f>
        <v>225515.5</v>
      </c>
    </row>
    <row r="57" spans="1:9" x14ac:dyDescent="0.25">
      <c r="A57" s="41">
        <v>44104</v>
      </c>
      <c r="B57" s="39">
        <f>1312.9+2333.9</f>
        <v>3646.8</v>
      </c>
      <c r="C57" s="39">
        <v>0</v>
      </c>
      <c r="D57" s="39">
        <f>3289.1+6230.2</f>
        <v>9519.2999999999993</v>
      </c>
      <c r="E57" s="39">
        <f>15222+121951</f>
        <v>137173</v>
      </c>
      <c r="F57" s="39">
        <f>3006.7+331.2</f>
        <v>3337.8999999999996</v>
      </c>
      <c r="G57" s="39">
        <f>2034.4+23352.7-2796.7+25865.7+5313.7</f>
        <v>53769.8</v>
      </c>
      <c r="H57" s="40">
        <f>10553.2+2796.7+2137.2+21347.6</f>
        <v>36834.699999999997</v>
      </c>
      <c r="I57" s="39">
        <f t="shared" ref="I57" si="9">SUM(B57:H57)</f>
        <v>244281.5</v>
      </c>
    </row>
    <row r="58" spans="1:9" x14ac:dyDescent="0.25">
      <c r="A58" s="41">
        <v>44196</v>
      </c>
      <c r="B58" s="39">
        <f>3540.3+2349.3</f>
        <v>5889.6</v>
      </c>
      <c r="C58" s="39">
        <v>0</v>
      </c>
      <c r="D58" s="39">
        <f>7500.1+10599.9</f>
        <v>18100</v>
      </c>
      <c r="E58" s="39">
        <f>12350.3+127854</f>
        <v>140204.29999999999</v>
      </c>
      <c r="F58" s="39">
        <f>2780.7+331.2</f>
        <v>3111.8999999999996</v>
      </c>
      <c r="G58" s="39">
        <f>2775.7+22620.3-2149.9+25865.8+7644.2</f>
        <v>56756.099999999991</v>
      </c>
      <c r="H58" s="40">
        <f>10286.8+2149.9+2229.5+21747.8</f>
        <v>36414</v>
      </c>
      <c r="I58" s="39">
        <f t="shared" ref="I58" si="10">SUM(B58:H58)</f>
        <v>260475.89999999997</v>
      </c>
    </row>
    <row r="59" spans="1:9" x14ac:dyDescent="0.25">
      <c r="A59" s="41">
        <v>44286</v>
      </c>
      <c r="B59" s="39">
        <f>8259.6+2366.1</f>
        <v>10625.7</v>
      </c>
      <c r="C59" s="39">
        <v>0</v>
      </c>
      <c r="D59" s="39">
        <f>8573.6+10336.4</f>
        <v>18910</v>
      </c>
      <c r="E59" s="39">
        <f>9295.7+140230.8</f>
        <v>149526.5</v>
      </c>
      <c r="F59" s="39">
        <f>2852.1+331.2</f>
        <v>3183.2999999999997</v>
      </c>
      <c r="G59" s="39">
        <f>427.4+24685.1-2171+30066.7+3387.7</f>
        <v>56395.899999999994</v>
      </c>
      <c r="H59" s="40">
        <f>10804.4+2171+2415.8+22369.4</f>
        <v>37760.600000000006</v>
      </c>
      <c r="I59" s="39">
        <f t="shared" ref="I59" si="11">SUM(B59:H59)</f>
        <v>276402</v>
      </c>
    </row>
    <row r="60" spans="1:9" x14ac:dyDescent="0.25">
      <c r="A60" s="41">
        <v>44377</v>
      </c>
      <c r="B60" s="39">
        <f>13474.4+2345.3</f>
        <v>15819.7</v>
      </c>
      <c r="C60" s="39">
        <v>0</v>
      </c>
      <c r="D60" s="39">
        <f>13405.8+9635.9</f>
        <v>23041.699999999997</v>
      </c>
      <c r="E60" s="39">
        <f>9879.6+152641.9</f>
        <v>162521.5</v>
      </c>
      <c r="F60" s="39">
        <f>2623.4+0</f>
        <v>2623.4</v>
      </c>
      <c r="G60" s="39">
        <f>1320.9+24393.4-1806.7+30808.4+5125.1</f>
        <v>59841.1</v>
      </c>
      <c r="H60" s="40">
        <f>16183.5+1806.7+2955.3+22447.2</f>
        <v>43392.7</v>
      </c>
      <c r="I60" s="39">
        <f t="shared" ref="I60" si="12">SUM(B60:H60)</f>
        <v>307240.09999999998</v>
      </c>
    </row>
    <row r="61" spans="1:9" x14ac:dyDescent="0.25">
      <c r="A61" s="41">
        <v>44440</v>
      </c>
      <c r="B61" s="39">
        <v>17265</v>
      </c>
      <c r="C61" s="39">
        <v>0</v>
      </c>
      <c r="D61" s="39">
        <v>16502.599999999999</v>
      </c>
      <c r="E61" s="39">
        <v>10854.8</v>
      </c>
      <c r="F61" s="39">
        <v>2695.2</v>
      </c>
      <c r="G61" s="39">
        <f>5080.6+24691.7-1995.9</f>
        <v>27776.400000000001</v>
      </c>
      <c r="H61" s="40">
        <f>15355.2+1995.9</f>
        <v>17351.100000000002</v>
      </c>
      <c r="I61" s="39">
        <f t="shared" ref="I61" si="13">SUM(B61:H61)</f>
        <v>92445.1</v>
      </c>
    </row>
    <row r="62" spans="1:9" x14ac:dyDescent="0.25">
      <c r="A62" s="41">
        <v>44532</v>
      </c>
      <c r="B62" s="39">
        <v>19315.899999999998</v>
      </c>
      <c r="C62" s="39">
        <v>0</v>
      </c>
      <c r="D62" s="39">
        <v>19417</v>
      </c>
      <c r="E62" s="39">
        <v>10925.7</v>
      </c>
      <c r="F62" s="39">
        <v>2453.8000000000002</v>
      </c>
      <c r="G62" s="39">
        <f>6077.8+24741.2-2030.8</f>
        <v>28788.2</v>
      </c>
      <c r="H62" s="40">
        <f>13641.1+2030.8</f>
        <v>15671.9</v>
      </c>
      <c r="I62" s="39">
        <f t="shared" ref="I62" si="14">SUM(B62:H62)</f>
        <v>96572.499999999985</v>
      </c>
    </row>
    <row r="63" spans="1:9" x14ac:dyDescent="0.25">
      <c r="A63" s="41">
        <v>44624</v>
      </c>
      <c r="B63" s="39">
        <v>21074.100000000002</v>
      </c>
      <c r="C63" s="39">
        <v>0</v>
      </c>
      <c r="D63" s="39">
        <v>19507.7</v>
      </c>
      <c r="E63" s="39">
        <v>14933.6</v>
      </c>
      <c r="F63" s="39">
        <v>2511.8000000000002</v>
      </c>
      <c r="G63" s="39">
        <f>1431+30354.4-2210.3</f>
        <v>29575.100000000002</v>
      </c>
      <c r="H63" s="40">
        <f>12706.9+2210.3</f>
        <v>14917.2</v>
      </c>
      <c r="I63" s="39">
        <f t="shared" ref="I63" si="15">SUM(B63:H63)</f>
        <v>102519.5</v>
      </c>
    </row>
    <row r="64" spans="1:9" x14ac:dyDescent="0.25">
      <c r="A64" s="42" t="s">
        <v>0</v>
      </c>
      <c r="B64" s="40"/>
      <c r="C64" s="40"/>
      <c r="D64" s="43"/>
      <c r="E64" s="40"/>
      <c r="F64" s="43"/>
      <c r="G64" s="43"/>
      <c r="H64" s="43"/>
      <c r="I64" s="39"/>
    </row>
    <row r="65" spans="1:9" x14ac:dyDescent="0.25">
      <c r="A65" s="54" t="s">
        <v>36</v>
      </c>
      <c r="B65" s="55"/>
      <c r="C65" s="55"/>
      <c r="D65" s="55"/>
      <c r="E65" s="55"/>
      <c r="F65" s="55"/>
      <c r="G65" s="55"/>
      <c r="H65" s="55"/>
      <c r="I65" s="56"/>
    </row>
  </sheetData>
  <mergeCells count="2">
    <mergeCell ref="A4:I4"/>
    <mergeCell ref="A65:I65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2"/>
  <sheetViews>
    <sheetView workbookViewId="0">
      <pane xSplit="1" ySplit="6" topLeftCell="I7" activePane="bottomRight" state="frozen"/>
      <selection pane="topRight" activeCell="B1" sqref="B1"/>
      <selection pane="bottomLeft" activeCell="A7" sqref="A7"/>
      <selection pane="bottomRight" activeCell="A22" sqref="A22:I22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4">
        <v>2020</v>
      </c>
      <c r="B19" s="39">
        <f>3540.3+2349.3</f>
        <v>5889.6</v>
      </c>
      <c r="C19" s="39">
        <v>0</v>
      </c>
      <c r="D19" s="39">
        <f>7500.1+10599.9</f>
        <v>18100</v>
      </c>
      <c r="E19" s="39">
        <f>12350.3+127854</f>
        <v>140204.29999999999</v>
      </c>
      <c r="F19" s="39">
        <f>2780.7+331.2</f>
        <v>3111.8999999999996</v>
      </c>
      <c r="G19" s="39">
        <f>2775.7+22620.3-2149.9+25865.8+7644.2</f>
        <v>56756.099999999991</v>
      </c>
      <c r="H19" s="40">
        <f>10286.8+2149.9+2229.5+21747.8</f>
        <v>36414</v>
      </c>
      <c r="I19" s="39">
        <f t="shared" ref="I19" si="3">SUM(B19:H19)</f>
        <v>260475.89999999997</v>
      </c>
    </row>
    <row r="20" spans="1:9" x14ac:dyDescent="0.25">
      <c r="A20" s="44">
        <v>2021</v>
      </c>
      <c r="B20" s="39">
        <v>19315.899999999998</v>
      </c>
      <c r="C20" s="39">
        <v>0</v>
      </c>
      <c r="D20" s="39">
        <v>19417</v>
      </c>
      <c r="E20" s="39">
        <v>10925.7</v>
      </c>
      <c r="F20" s="39">
        <v>2453.8000000000002</v>
      </c>
      <c r="G20" s="39">
        <f>6077.8+24741.2-2030.8</f>
        <v>28788.2</v>
      </c>
      <c r="H20" s="40">
        <f>13641.1+2030.8</f>
        <v>15671.9</v>
      </c>
      <c r="I20" s="39">
        <f t="shared" ref="I20" si="4">SUM(B20:H20)</f>
        <v>96572.499999999985</v>
      </c>
    </row>
    <row r="21" spans="1:9" x14ac:dyDescent="0.25">
      <c r="A21" s="42" t="s">
        <v>0</v>
      </c>
      <c r="B21" s="40"/>
      <c r="C21" s="40"/>
      <c r="D21" s="43"/>
      <c r="E21" s="40"/>
      <c r="F21" s="43"/>
      <c r="G21" s="43"/>
      <c r="H21" s="43"/>
      <c r="I21" s="39"/>
    </row>
    <row r="22" spans="1:9" x14ac:dyDescent="0.25">
      <c r="A22" s="54" t="s">
        <v>36</v>
      </c>
      <c r="B22" s="55"/>
      <c r="C22" s="55"/>
      <c r="D22" s="55"/>
      <c r="E22" s="55"/>
      <c r="F22" s="55"/>
      <c r="G22" s="55"/>
      <c r="H22" s="55"/>
      <c r="I22" s="56"/>
    </row>
  </sheetData>
  <mergeCells count="2">
    <mergeCell ref="A4:I4"/>
    <mergeCell ref="A22:I22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2022-06-22T06:42:09Z</dcterms:modified>
</cp:coreProperties>
</file>