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4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20" i="5" l="1"/>
  <c r="N20" i="5"/>
  <c r="M20" i="5"/>
  <c r="Q20" i="5" s="1"/>
  <c r="G20" i="5"/>
  <c r="L20" i="5" s="1"/>
  <c r="R20" i="5" s="1"/>
  <c r="F20" i="5"/>
  <c r="D20" i="5"/>
  <c r="S20" i="5" s="1"/>
  <c r="P59" i="4"/>
  <c r="N59" i="4"/>
  <c r="M59" i="4"/>
  <c r="G59" i="4"/>
  <c r="F59" i="4"/>
  <c r="D59" i="4"/>
  <c r="P58" i="4"/>
  <c r="N58" i="4"/>
  <c r="M58" i="4"/>
  <c r="G58" i="4"/>
  <c r="F58" i="4"/>
  <c r="D58" i="4"/>
  <c r="P57" i="4"/>
  <c r="N57" i="4"/>
  <c r="M57" i="4"/>
  <c r="Q57" i="4" s="1"/>
  <c r="G57" i="4"/>
  <c r="F57" i="4"/>
  <c r="D57" i="4"/>
  <c r="P56" i="4"/>
  <c r="N56" i="4"/>
  <c r="M56" i="4"/>
  <c r="G56" i="4"/>
  <c r="F56" i="4"/>
  <c r="D56" i="4"/>
  <c r="Q163" i="3"/>
  <c r="P163" i="3"/>
  <c r="N163" i="3"/>
  <c r="M163" i="3"/>
  <c r="L163" i="3"/>
  <c r="R163" i="3" s="1"/>
  <c r="G163" i="3"/>
  <c r="F163" i="3"/>
  <c r="D163" i="3"/>
  <c r="P162" i="3"/>
  <c r="N162" i="3"/>
  <c r="M162" i="3"/>
  <c r="G162" i="3"/>
  <c r="F162" i="3"/>
  <c r="L162" i="3" s="1"/>
  <c r="D162" i="3"/>
  <c r="P161" i="3"/>
  <c r="Q161" i="3" s="1"/>
  <c r="N161" i="3"/>
  <c r="M161" i="3"/>
  <c r="G161" i="3"/>
  <c r="F161" i="3"/>
  <c r="L161" i="3" s="1"/>
  <c r="D161" i="3"/>
  <c r="P160" i="3"/>
  <c r="N160" i="3"/>
  <c r="M160" i="3"/>
  <c r="G160" i="3"/>
  <c r="F160" i="3"/>
  <c r="L160" i="3" s="1"/>
  <c r="D160" i="3"/>
  <c r="P159" i="3"/>
  <c r="N159" i="3"/>
  <c r="M159" i="3"/>
  <c r="Q159" i="3" s="1"/>
  <c r="L159" i="3"/>
  <c r="G159" i="3"/>
  <c r="F159" i="3"/>
  <c r="D159" i="3"/>
  <c r="P158" i="3"/>
  <c r="N158" i="3"/>
  <c r="M158" i="3"/>
  <c r="G158" i="3"/>
  <c r="F158" i="3"/>
  <c r="D158" i="3"/>
  <c r="P157" i="3"/>
  <c r="N157" i="3"/>
  <c r="Q157" i="3" s="1"/>
  <c r="M157" i="3"/>
  <c r="G157" i="3"/>
  <c r="F157" i="3"/>
  <c r="L157" i="3" s="1"/>
  <c r="R157" i="3" s="1"/>
  <c r="D157" i="3"/>
  <c r="P156" i="3"/>
  <c r="N156" i="3"/>
  <c r="M156" i="3"/>
  <c r="Q156" i="3" s="1"/>
  <c r="G156" i="3"/>
  <c r="F156" i="3"/>
  <c r="L156" i="3" s="1"/>
  <c r="D156" i="3"/>
  <c r="Q155" i="3"/>
  <c r="P155" i="3"/>
  <c r="N155" i="3"/>
  <c r="M155" i="3"/>
  <c r="L155" i="3"/>
  <c r="G155" i="3"/>
  <c r="F155" i="3"/>
  <c r="D155" i="3"/>
  <c r="P154" i="3"/>
  <c r="N154" i="3"/>
  <c r="M154" i="3"/>
  <c r="G154" i="3"/>
  <c r="F154" i="3"/>
  <c r="L154" i="3" s="1"/>
  <c r="D154" i="3"/>
  <c r="P153" i="3"/>
  <c r="N153" i="3"/>
  <c r="Q153" i="3" s="1"/>
  <c r="M153" i="3"/>
  <c r="L153" i="3"/>
  <c r="G153" i="3"/>
  <c r="D153" i="3"/>
  <c r="P152" i="3"/>
  <c r="N152" i="3"/>
  <c r="M152" i="3"/>
  <c r="Q152" i="3" s="1"/>
  <c r="G152" i="3"/>
  <c r="L152" i="3" s="1"/>
  <c r="R152" i="3" s="1"/>
  <c r="D152" i="3"/>
  <c r="L57" i="4" l="1"/>
  <c r="R57" i="4" s="1"/>
  <c r="S57" i="4" s="1"/>
  <c r="L56" i="4"/>
  <c r="L59" i="4"/>
  <c r="Q56" i="4"/>
  <c r="Q59" i="4"/>
  <c r="R59" i="4" s="1"/>
  <c r="S59" i="4" s="1"/>
  <c r="Q58" i="4"/>
  <c r="L58" i="4"/>
  <c r="S157" i="3"/>
  <c r="S163" i="3"/>
  <c r="R161" i="3"/>
  <c r="S161" i="3" s="1"/>
  <c r="R156" i="3"/>
  <c r="S156" i="3" s="1"/>
  <c r="Q158" i="3"/>
  <c r="R155" i="3"/>
  <c r="S155" i="3" s="1"/>
  <c r="R153" i="3"/>
  <c r="S153" i="3" s="1"/>
  <c r="Q162" i="3"/>
  <c r="R162" i="3" s="1"/>
  <c r="S162" i="3" s="1"/>
  <c r="Q154" i="3"/>
  <c r="R154" i="3" s="1"/>
  <c r="S154" i="3" s="1"/>
  <c r="L158" i="3"/>
  <c r="R158" i="3" s="1"/>
  <c r="S158" i="3" s="1"/>
  <c r="R159" i="3"/>
  <c r="Q160" i="3"/>
  <c r="S159" i="3"/>
  <c r="R160" i="3"/>
  <c r="S160" i="3" s="1"/>
  <c r="S152" i="3"/>
  <c r="R58" i="4" l="1"/>
  <c r="S58" i="4" s="1"/>
  <c r="R56" i="4"/>
  <c r="S56" i="4" s="1"/>
  <c r="Q19" i="5"/>
  <c r="L19" i="5"/>
  <c r="D19" i="5"/>
  <c r="Q55" i="4"/>
  <c r="L55" i="4"/>
  <c r="D55" i="4"/>
  <c r="Q151" i="3"/>
  <c r="L151" i="3"/>
  <c r="D151" i="3"/>
  <c r="S19" i="5" l="1"/>
  <c r="R19" i="5"/>
  <c r="R55" i="4"/>
  <c r="S55" i="4" s="1"/>
  <c r="R151" i="3"/>
  <c r="S151" i="3" s="1"/>
  <c r="Q54" i="4" l="1"/>
  <c r="L54" i="4"/>
  <c r="D54" i="4"/>
  <c r="Q53" i="4"/>
  <c r="L53" i="4"/>
  <c r="D53" i="4"/>
  <c r="Q52" i="4"/>
  <c r="L52" i="4"/>
  <c r="D52" i="4"/>
  <c r="R54" i="4" l="1"/>
  <c r="S54" i="4" s="1"/>
  <c r="R53" i="4"/>
  <c r="S53" i="4" s="1"/>
  <c r="R52" i="4"/>
  <c r="S52" i="4" s="1"/>
  <c r="Q150" i="3" l="1"/>
  <c r="L150" i="3"/>
  <c r="D150" i="3"/>
  <c r="Q149" i="3"/>
  <c r="L149" i="3"/>
  <c r="D149" i="3"/>
  <c r="Q148" i="3"/>
  <c r="L148" i="3"/>
  <c r="D148" i="3"/>
  <c r="Q147" i="3"/>
  <c r="L147" i="3"/>
  <c r="R147" i="3" s="1"/>
  <c r="D147" i="3"/>
  <c r="Q146" i="3"/>
  <c r="L146" i="3"/>
  <c r="D146" i="3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6" i="3" l="1"/>
  <c r="S146" i="3" s="1"/>
  <c r="R140" i="3"/>
  <c r="S140" i="3" s="1"/>
  <c r="R148" i="3"/>
  <c r="S148" i="3" s="1"/>
  <c r="R144" i="3"/>
  <c r="S144" i="3" s="1"/>
  <c r="R142" i="3"/>
  <c r="S142" i="3" s="1"/>
  <c r="R145" i="3"/>
  <c r="S145" i="3" s="1"/>
  <c r="R141" i="3"/>
  <c r="S141" i="3" s="1"/>
  <c r="R149" i="3"/>
  <c r="S149" i="3" s="1"/>
  <c r="R143" i="3"/>
  <c r="S143" i="3" s="1"/>
  <c r="S147" i="3"/>
  <c r="R150" i="3"/>
  <c r="S150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S66" i="3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<sst xmlns="http://schemas.openxmlformats.org/spreadsheetml/2006/main" count="236" uniqueCount="90">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</sst>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44196</v>
      </c>
    </row>
    <row r="12" spans="2:5">
      <c r="B12" s="25" t="s">
        <v>28</v>
      </c>
      <c r="C12" s="26" t="s">
        <v>37</v>
      </c>
      <c r="D12" s="26" t="s">
        <v>28</v>
      </c>
      <c r="E12" s="28" t="s">
        <v>84</v>
      </c>
    </row>
    <row r="13" spans="2:5">
      <c r="B13" s="25" t="s">
        <v>29</v>
      </c>
      <c r="C13" s="26" t="s">
        <v>38</v>
      </c>
      <c r="D13" s="26" t="s">
        <v>29</v>
      </c>
      <c r="E13" s="27" t="s">
        <v>85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7"/>
  <sheetViews>
    <sheetView workbookViewId="0">
      <pane xSplit="1" ySplit="7" topLeftCell="B158" activePane="bottomRight" state="frozen"/>
      <selection pane="topRight" activeCell="B1" sqref="B1"/>
      <selection pane="bottomLeft" activeCell="A8" sqref="A8"/>
      <selection pane="bottomRight" activeCell="C154" sqref="C154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63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0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63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 ht="18">
      <c r="A146" s="15" t="s">
        <v>78</v>
      </c>
      <c r="B146" s="14">
        <v>304464.2</v>
      </c>
      <c r="C146" s="14">
        <v>-547179.29999999993</v>
      </c>
      <c r="D146" s="14">
        <f t="shared" si="39"/>
        <v>-242715.09999999992</v>
      </c>
      <c r="E146" s="14">
        <v>158917.5</v>
      </c>
      <c r="F146" s="14">
        <v>1190797.1999999997</v>
      </c>
      <c r="G146" s="14">
        <v>61986.400000000001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1493553.1999999995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2818175.0333333332</v>
      </c>
      <c r="S146" s="14">
        <f t="shared" si="43"/>
        <v>2575459.9333333331</v>
      </c>
    </row>
    <row r="147" spans="1:19" s="51" customFormat="1" ht="18">
      <c r="A147" s="15" t="s">
        <v>68</v>
      </c>
      <c r="B147" s="14">
        <v>281923.90000000002</v>
      </c>
      <c r="C147" s="14">
        <v>-533149.49999999988</v>
      </c>
      <c r="D147" s="14">
        <f t="shared" si="39"/>
        <v>-251225.59999999986</v>
      </c>
      <c r="E147" s="14">
        <v>0</v>
      </c>
      <c r="F147" s="14">
        <v>1234004.5000000002</v>
      </c>
      <c r="G147" s="14">
        <v>62316.500000000007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1504724.7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2840419.9666666668</v>
      </c>
      <c r="S147" s="14">
        <f t="shared" si="43"/>
        <v>2589194.3666666672</v>
      </c>
    </row>
    <row r="148" spans="1:19" s="51" customFormat="1" ht="18">
      <c r="A148" s="15" t="s">
        <v>69</v>
      </c>
      <c r="B148" s="14">
        <v>298513</v>
      </c>
      <c r="C148" s="14">
        <v>-533829</v>
      </c>
      <c r="D148" s="14">
        <f t="shared" si="39"/>
        <v>-235316</v>
      </c>
      <c r="E148" s="14">
        <v>0</v>
      </c>
      <c r="F148" s="14">
        <v>1264668.5</v>
      </c>
      <c r="G148" s="14">
        <v>69187.5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1523301.5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2887725.5999999996</v>
      </c>
      <c r="S148" s="14">
        <f t="shared" si="43"/>
        <v>2652409.5999999996</v>
      </c>
    </row>
    <row r="149" spans="1:19" s="51" customFormat="1" ht="18">
      <c r="A149" s="15" t="s">
        <v>76</v>
      </c>
      <c r="B149" s="14">
        <v>281183.3</v>
      </c>
      <c r="C149" s="14">
        <v>-525169.79999999993</v>
      </c>
      <c r="D149" s="14">
        <f t="shared" si="39"/>
        <v>-243986.49999999994</v>
      </c>
      <c r="E149" s="14">
        <v>0</v>
      </c>
      <c r="F149" s="14">
        <v>1305643.7</v>
      </c>
      <c r="G149" s="14">
        <v>81164.800000000003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1539476.2000000002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2920423.9666666668</v>
      </c>
      <c r="S149" s="14">
        <f t="shared" si="43"/>
        <v>2676437.4666666668</v>
      </c>
    </row>
    <row r="150" spans="1:19" s="51" customFormat="1" ht="18">
      <c r="A150" s="15" t="s">
        <v>70</v>
      </c>
      <c r="B150" s="14">
        <v>261502.5</v>
      </c>
      <c r="C150" s="14">
        <v>-523421.4</v>
      </c>
      <c r="D150" s="14">
        <f t="shared" si="39"/>
        <v>-261918.90000000002</v>
      </c>
      <c r="E150" s="14">
        <v>0</v>
      </c>
      <c r="F150" s="14">
        <v>1341848</v>
      </c>
      <c r="G150" s="14">
        <v>78077.600000000006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1576595.1000000006</v>
      </c>
      <c r="M150" s="14">
        <v>25926.899999999998</v>
      </c>
      <c r="N150" s="14">
        <v>1372820.333333333</v>
      </c>
      <c r="O150" s="54">
        <v>496</v>
      </c>
      <c r="P150" s="54">
        <v>12381.5</v>
      </c>
      <c r="Q150" s="14">
        <f>SUM(M150:P150)</f>
        <v>1411624.7333333329</v>
      </c>
      <c r="R150" s="14">
        <f>SUM(L150,Q150)</f>
        <v>2988219.8333333335</v>
      </c>
      <c r="S150" s="14">
        <f t="shared" si="43"/>
        <v>2726300.9333333336</v>
      </c>
    </row>
    <row r="151" spans="1:19" s="51" customFormat="1" ht="18">
      <c r="A151" s="15" t="s">
        <v>71</v>
      </c>
      <c r="B151" s="14">
        <v>388061.1999999999</v>
      </c>
      <c r="C151" s="14">
        <v>-603082.79999999981</v>
      </c>
      <c r="D151" s="14">
        <f t="shared" si="39"/>
        <v>-215021.59999999992</v>
      </c>
      <c r="E151" s="14">
        <v>0</v>
      </c>
      <c r="F151" s="14">
        <v>1373091.0000000002</v>
      </c>
      <c r="G151" s="14">
        <v>75978.7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ref="L151" si="44">SUM( (E151:K151))</f>
        <v>1648732.6</v>
      </c>
      <c r="M151" s="14">
        <v>42179.299999999988</v>
      </c>
      <c r="N151" s="14">
        <v>1340807.0000000002</v>
      </c>
      <c r="O151" s="54">
        <v>458.5</v>
      </c>
      <c r="P151" s="54">
        <v>13691.699999999999</v>
      </c>
      <c r="Q151" s="14">
        <f>SUM(M151:P151)</f>
        <v>1397136.5000000002</v>
      </c>
      <c r="R151" s="14">
        <f>SUM(L151,Q151)</f>
        <v>3045869.1000000006</v>
      </c>
      <c r="S151" s="14">
        <f t="shared" si="43"/>
        <v>2830847.5000000005</v>
      </c>
    </row>
    <row r="152" spans="1:19" s="51" customFormat="1" ht="18">
      <c r="A152" s="15" t="s">
        <v>73</v>
      </c>
      <c r="B152" s="14">
        <v>336863.6</v>
      </c>
      <c r="C152" s="14">
        <v>-662873</v>
      </c>
      <c r="D152" s="14">
        <f t="shared" si="39"/>
        <v>-326009.40000000002</v>
      </c>
      <c r="E152" s="14">
        <v>0</v>
      </c>
      <c r="F152" s="14">
        <v>1411185.8000000003</v>
      </c>
      <c r="G152" s="14">
        <f>18507.3+104859.1+50.8+0</f>
        <v>123417.20000000001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ref="L152:L163" si="45">SUM( (E152:K152))</f>
        <v>1729328.9000000001</v>
      </c>
      <c r="M152" s="14">
        <f>37420.9+101.6</f>
        <v>37522.5</v>
      </c>
      <c r="N152" s="14">
        <f>1317096.5+68856.6-157.9-0-0-13533.8</f>
        <v>1372261.4000000001</v>
      </c>
      <c r="O152" s="54">
        <v>370.8</v>
      </c>
      <c r="P152" s="54">
        <f>157.9+0+0+13533.8</f>
        <v>13691.699999999999</v>
      </c>
      <c r="Q152" s="14">
        <f t="shared" ref="Q152:Q163" si="46">SUM(M152:P152)</f>
        <v>1423846.4000000001</v>
      </c>
      <c r="R152" s="14">
        <f t="shared" ref="R152:R163" si="47">SUM(L152,Q152)</f>
        <v>3153175.3000000003</v>
      </c>
      <c r="S152" s="14">
        <f t="shared" si="43"/>
        <v>2827165.9000000004</v>
      </c>
    </row>
    <row r="153" spans="1:19" s="51" customFormat="1" ht="18">
      <c r="A153" s="15" t="s">
        <v>74</v>
      </c>
      <c r="B153" s="14">
        <v>391387.4</v>
      </c>
      <c r="C153" s="14">
        <v>-646726.6</v>
      </c>
      <c r="D153" s="14">
        <f t="shared" si="39"/>
        <v>-255339.19999999995</v>
      </c>
      <c r="E153" s="14">
        <v>0</v>
      </c>
      <c r="F153" s="14">
        <v>1421147.0000000002</v>
      </c>
      <c r="G153" s="14">
        <f>18507.3+105451.8+84.3+0</f>
        <v>124043.40000000001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45"/>
        <v>1729069.7000000002</v>
      </c>
      <c r="M153" s="14">
        <f>34653.6+101.6</f>
        <v>34755.199999999997</v>
      </c>
      <c r="N153" s="14">
        <f>1310566.5+67089.1-157.9-0-0-13533.8</f>
        <v>1363963.9000000001</v>
      </c>
      <c r="O153" s="54">
        <v>327</v>
      </c>
      <c r="P153" s="54">
        <f>157.9+0+0+13533.8</f>
        <v>13691.699999999999</v>
      </c>
      <c r="Q153" s="14">
        <f t="shared" si="46"/>
        <v>1412737.8</v>
      </c>
      <c r="R153" s="14">
        <f t="shared" si="47"/>
        <v>3141807.5</v>
      </c>
      <c r="S153" s="14">
        <f t="shared" si="43"/>
        <v>2886468.3</v>
      </c>
    </row>
    <row r="154" spans="1:19" s="51" customFormat="1" ht="18">
      <c r="A154" s="15" t="s">
        <v>75</v>
      </c>
      <c r="B154" s="14">
        <v>346877</v>
      </c>
      <c r="C154" s="14">
        <v>-636787.1</v>
      </c>
      <c r="D154" s="14">
        <f t="shared" si="39"/>
        <v>-289910.09999999998</v>
      </c>
      <c r="E154" s="14">
        <v>0</v>
      </c>
      <c r="F154" s="14">
        <f>0+0+0+51183+1270664.1+59841.5+17453.8+3073.8+14308.4</f>
        <v>1416524.6</v>
      </c>
      <c r="G154" s="14">
        <f>18507.3+106337.4+0+0</f>
        <v>124844.7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45"/>
        <v>1692619.5999999999</v>
      </c>
      <c r="M154" s="14">
        <f>32139.3+101.6</f>
        <v>32240.899999999998</v>
      </c>
      <c r="N154" s="14">
        <f>1342009.3+66164.2-157.9-0-0-14108.7</f>
        <v>1393906.9000000001</v>
      </c>
      <c r="O154" s="54">
        <v>342.2</v>
      </c>
      <c r="P154" s="54">
        <f>157.9+0+0+14108.7</f>
        <v>14266.6</v>
      </c>
      <c r="Q154" s="14">
        <f t="shared" si="46"/>
        <v>1440756.6</v>
      </c>
      <c r="R154" s="14">
        <f t="shared" si="47"/>
        <v>3133376.2</v>
      </c>
      <c r="S154" s="14">
        <f t="shared" si="43"/>
        <v>2843466.1</v>
      </c>
    </row>
    <row r="155" spans="1:19" s="51" customFormat="1" ht="18">
      <c r="A155" s="15" t="s">
        <v>77</v>
      </c>
      <c r="B155" s="14">
        <v>330978.89999999997</v>
      </c>
      <c r="C155" s="14">
        <v>-642025.89999999991</v>
      </c>
      <c r="D155" s="14">
        <f t="shared" si="39"/>
        <v>-311046.99999999994</v>
      </c>
      <c r="E155" s="14">
        <v>0</v>
      </c>
      <c r="F155" s="14">
        <f>0+0+0+50533.1+1285753.9+49093.9+17453.8+3099.7+14440.3</f>
        <v>1420374.7</v>
      </c>
      <c r="G155" s="14">
        <f>18507.3+107005.7+0+0</f>
        <v>125513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45"/>
        <v>1737715.5999999999</v>
      </c>
      <c r="M155" s="14">
        <f>33553.3+101.6</f>
        <v>33654.9</v>
      </c>
      <c r="N155" s="14">
        <f>1352874.2+62389-157.9-0-0-14108.7</f>
        <v>1400996.6</v>
      </c>
      <c r="O155" s="54">
        <v>357.29999999999995</v>
      </c>
      <c r="P155" s="54">
        <f>157.9+0+0+14108.7</f>
        <v>14266.6</v>
      </c>
      <c r="Q155" s="14">
        <f t="shared" si="46"/>
        <v>1449275.4000000001</v>
      </c>
      <c r="R155" s="14">
        <f t="shared" si="47"/>
        <v>3186991</v>
      </c>
      <c r="S155" s="14">
        <f t="shared" si="43"/>
        <v>2875944</v>
      </c>
    </row>
    <row r="156" spans="1:19" s="51" customFormat="1" ht="18">
      <c r="A156" s="15" t="s">
        <v>79</v>
      </c>
      <c r="B156" s="14">
        <v>312130.09999999998</v>
      </c>
      <c r="C156" s="14">
        <v>-657577.39999999991</v>
      </c>
      <c r="D156" s="14">
        <f t="shared" si="39"/>
        <v>-345447.29999999993</v>
      </c>
      <c r="E156" s="14">
        <v>0</v>
      </c>
      <c r="F156" s="14">
        <f>0+0+0+64033.1+1297860.1+49605.6+17453.8+3126.6+14576.6</f>
        <v>1446655.8000000005</v>
      </c>
      <c r="G156" s="14">
        <f>18507.3+100486.7+0+0+1852.2</f>
        <v>120846.2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45"/>
        <v>1722461.4000000006</v>
      </c>
      <c r="M156" s="14">
        <f>30460.2+101.6</f>
        <v>30561.8</v>
      </c>
      <c r="N156" s="14">
        <f>1419788.5+66153.1-157.9-0-0-14108.7</f>
        <v>1471675.0000000002</v>
      </c>
      <c r="O156" s="54">
        <v>552.5</v>
      </c>
      <c r="P156" s="54">
        <f>157.9+0+0+14108.7</f>
        <v>14266.6</v>
      </c>
      <c r="Q156" s="14">
        <f t="shared" si="46"/>
        <v>1517055.9000000004</v>
      </c>
      <c r="R156" s="14">
        <f t="shared" si="47"/>
        <v>3239517.3000000007</v>
      </c>
      <c r="S156" s="14">
        <f t="shared" si="43"/>
        <v>2894070.0000000009</v>
      </c>
    </row>
    <row r="157" spans="1:19" s="51" customFormat="1" ht="18">
      <c r="A157" s="15" t="s">
        <v>80</v>
      </c>
      <c r="B157" s="14">
        <v>309848.40000000002</v>
      </c>
      <c r="C157" s="14">
        <v>-647711.69999999995</v>
      </c>
      <c r="D157" s="14">
        <f t="shared" si="39"/>
        <v>-337863.29999999993</v>
      </c>
      <c r="E157" s="14">
        <v>0</v>
      </c>
      <c r="F157" s="14">
        <f>0+0+0+59283+1350702.5+59204.6+19642.3+3152.5+14708.5</f>
        <v>1506693.4000000001</v>
      </c>
      <c r="G157" s="14">
        <f>18507.3+101272.9+0+21.1+5357.5</f>
        <v>125158.8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45"/>
        <v>1828975.4000000004</v>
      </c>
      <c r="M157" s="14">
        <f>29577.4+101.6</f>
        <v>29679</v>
      </c>
      <c r="N157" s="14">
        <f>1426210.1+65000.9-157.9-0-0-13851.3</f>
        <v>1477201.8</v>
      </c>
      <c r="O157" s="54">
        <v>328.2</v>
      </c>
      <c r="P157" s="54">
        <f t="shared" ref="P157:P163" si="48">157.9+0+0+13851.3</f>
        <v>14009.199999999999</v>
      </c>
      <c r="Q157" s="14">
        <f t="shared" si="46"/>
        <v>1521218.2</v>
      </c>
      <c r="R157" s="14">
        <f t="shared" si="47"/>
        <v>3350193.6000000006</v>
      </c>
      <c r="S157" s="14">
        <f t="shared" si="43"/>
        <v>3012330.3000000007</v>
      </c>
    </row>
    <row r="158" spans="1:19" s="51" customFormat="1" ht="18">
      <c r="A158" s="15" t="s">
        <v>81</v>
      </c>
      <c r="B158" s="14">
        <v>340926.4</v>
      </c>
      <c r="C158" s="14">
        <v>-658346.19999999984</v>
      </c>
      <c r="D158" s="14">
        <f t="shared" si="39"/>
        <v>-317419.79999999981</v>
      </c>
      <c r="E158" s="14">
        <v>0</v>
      </c>
      <c r="F158" s="14">
        <f>0+0+0+53583+1382662.1+63639.5+19642.3+3179.4+14645.3</f>
        <v>1537351.6</v>
      </c>
      <c r="G158" s="14">
        <f>18507.3+100450.9+21.1+9362.2</f>
        <v>128341.5</v>
      </c>
      <c r="H158" s="52">
        <v>13933</v>
      </c>
      <c r="I158" s="52">
        <v>714329.3</v>
      </c>
      <c r="J158" s="53">
        <v>-496348.03333333327</v>
      </c>
      <c r="K158" s="14">
        <v>-87632.4</v>
      </c>
      <c r="L158" s="14">
        <f t="shared" si="45"/>
        <v>1809974.9666666673</v>
      </c>
      <c r="M158" s="14">
        <f>27283+101.6</f>
        <v>27384.6</v>
      </c>
      <c r="N158" s="14">
        <f>1491883.9+68924.8-157.9-0-0-13851.3</f>
        <v>1546799.5</v>
      </c>
      <c r="O158" s="54">
        <v>226.5</v>
      </c>
      <c r="P158" s="54">
        <f t="shared" si="48"/>
        <v>14009.199999999999</v>
      </c>
      <c r="Q158" s="14">
        <f t="shared" si="46"/>
        <v>1588419.8</v>
      </c>
      <c r="R158" s="14">
        <f t="shared" si="47"/>
        <v>3398394.7666666675</v>
      </c>
      <c r="S158" s="14">
        <f t="shared" si="43"/>
        <v>3080974.9666666677</v>
      </c>
    </row>
    <row r="159" spans="1:19" s="51" customFormat="1" ht="18">
      <c r="A159" s="15" t="s">
        <v>82</v>
      </c>
      <c r="B159" s="14">
        <v>365381.4</v>
      </c>
      <c r="C159" s="14">
        <v>-643675.29999999981</v>
      </c>
      <c r="D159" s="14">
        <f t="shared" si="39"/>
        <v>-278293.89999999979</v>
      </c>
      <c r="E159" s="14">
        <v>0</v>
      </c>
      <c r="F159" s="14">
        <f>0+0+0+51333+1407573.8+62122.3+19642.3+3206.2+14781.6</f>
        <v>1558659.2000000002</v>
      </c>
      <c r="G159" s="14">
        <f>18507.3+101333.4+21.1+23833.1</f>
        <v>143694.9</v>
      </c>
      <c r="H159" s="52">
        <v>13933</v>
      </c>
      <c r="I159" s="52">
        <v>713689.4</v>
      </c>
      <c r="J159" s="53">
        <v>-544046.16666666674</v>
      </c>
      <c r="K159" s="14">
        <v>-88159.1</v>
      </c>
      <c r="L159" s="14">
        <f t="shared" si="45"/>
        <v>1797771.2333333332</v>
      </c>
      <c r="M159" s="14">
        <f>46061.5+101.6</f>
        <v>46163.1</v>
      </c>
      <c r="N159" s="14">
        <f>1514988.4+67176.7-157.9-0-0-13851.3</f>
        <v>1568155.9</v>
      </c>
      <c r="O159" s="54">
        <v>305.60000000000002</v>
      </c>
      <c r="P159" s="54">
        <f t="shared" si="48"/>
        <v>14009.199999999999</v>
      </c>
      <c r="Q159" s="14">
        <f t="shared" si="46"/>
        <v>1628633.8</v>
      </c>
      <c r="R159" s="14">
        <f t="shared" si="47"/>
        <v>3426405.0333333332</v>
      </c>
      <c r="S159" s="14">
        <f t="shared" si="43"/>
        <v>3148111.1333333333</v>
      </c>
    </row>
    <row r="160" spans="1:19" s="51" customFormat="1" ht="18">
      <c r="A160" s="15" t="s">
        <v>83</v>
      </c>
      <c r="B160" s="14">
        <v>371271.69999999995</v>
      </c>
      <c r="C160" s="14">
        <v>-670143.99999999988</v>
      </c>
      <c r="D160" s="14">
        <f t="shared" si="39"/>
        <v>-298872.29999999993</v>
      </c>
      <c r="E160" s="14">
        <v>0</v>
      </c>
      <c r="F160" s="14">
        <f>0+0+0+55534+1425779.5+58564.4+19642.3+3232.2+14913.5</f>
        <v>1577665.9</v>
      </c>
      <c r="G160" s="14">
        <f>18507.3+127767.4+42.1+25822.8+150000</f>
        <v>322139.59999999998</v>
      </c>
      <c r="H160" s="52">
        <v>12539.7</v>
      </c>
      <c r="I160" s="52">
        <v>713120.2</v>
      </c>
      <c r="J160" s="53">
        <v>-476293.60000000009</v>
      </c>
      <c r="K160" s="14">
        <v>-76753.3</v>
      </c>
      <c r="L160" s="14">
        <f t="shared" si="45"/>
        <v>2072418.4999999998</v>
      </c>
      <c r="M160" s="14">
        <f>30627.8+101.6</f>
        <v>30729.399999999998</v>
      </c>
      <c r="N160" s="14">
        <f>1492987.5+81515.3-157.9-0-0-13851.3</f>
        <v>1560493.6</v>
      </c>
      <c r="O160" s="54">
        <v>311</v>
      </c>
      <c r="P160" s="54">
        <f t="shared" si="48"/>
        <v>14009.199999999999</v>
      </c>
      <c r="Q160" s="14">
        <f t="shared" si="46"/>
        <v>1605543.2</v>
      </c>
      <c r="R160" s="14">
        <f t="shared" si="47"/>
        <v>3677961.6999999997</v>
      </c>
      <c r="S160" s="14">
        <f t="shared" si="43"/>
        <v>3379089.4</v>
      </c>
    </row>
    <row r="161" spans="1:19" s="51" customFormat="1" ht="18">
      <c r="A161" s="15" t="s">
        <v>86</v>
      </c>
      <c r="B161" s="14">
        <v>372584.3</v>
      </c>
      <c r="C161" s="14">
        <v>-682697.89999999991</v>
      </c>
      <c r="D161" s="14">
        <f t="shared" si="39"/>
        <v>-310113.59999999992</v>
      </c>
      <c r="E161" s="14">
        <v>0</v>
      </c>
      <c r="F161" s="14">
        <f>0+0+0+61094+1444637.5+57062.4+19642.3+3259+15049.8</f>
        <v>1600745</v>
      </c>
      <c r="G161" s="14">
        <f>18507.3+128263.2+42.1+26917.5+150000+2000</f>
        <v>325730.09999999998</v>
      </c>
      <c r="H161" s="52">
        <v>11146.4</v>
      </c>
      <c r="I161" s="52">
        <v>711911</v>
      </c>
      <c r="J161" s="53">
        <v>-495139.20000000007</v>
      </c>
      <c r="K161" s="14">
        <v>-89546.6</v>
      </c>
      <c r="L161" s="14">
        <f t="shared" si="45"/>
        <v>2064846.6999999997</v>
      </c>
      <c r="M161" s="14">
        <f>27891.7+101.6</f>
        <v>27993.3</v>
      </c>
      <c r="N161" s="14">
        <f>1502320.3+78223.9-157.9-0-0-13851.3</f>
        <v>1566535</v>
      </c>
      <c r="O161" s="54">
        <v>1236.8</v>
      </c>
      <c r="P161" s="54">
        <f t="shared" si="48"/>
        <v>14009.199999999999</v>
      </c>
      <c r="Q161" s="14">
        <f t="shared" si="46"/>
        <v>1609774.3</v>
      </c>
      <c r="R161" s="14">
        <f t="shared" si="47"/>
        <v>3674621</v>
      </c>
      <c r="S161" s="14">
        <f t="shared" si="43"/>
        <v>3364507.4</v>
      </c>
    </row>
    <row r="162" spans="1:19" s="51" customFormat="1" ht="18">
      <c r="A162" s="15" t="s">
        <v>87</v>
      </c>
      <c r="B162" s="14">
        <v>391549.6</v>
      </c>
      <c r="C162" s="14">
        <v>-704375.5</v>
      </c>
      <c r="D162" s="14">
        <f t="shared" si="39"/>
        <v>-312825.90000000002</v>
      </c>
      <c r="E162" s="14">
        <v>0</v>
      </c>
      <c r="F162" s="14">
        <f>0+0+0+72424+1447026.3+57109.4+19642.3+3159.3+14726.2</f>
        <v>1614087.5</v>
      </c>
      <c r="G162" s="14">
        <f>18507.3+122122.1+42.1+26994.4+150000+2000</f>
        <v>319665.90000000002</v>
      </c>
      <c r="H162" s="52">
        <v>9753.1</v>
      </c>
      <c r="I162" s="52">
        <v>710701.89999999991</v>
      </c>
      <c r="J162" s="53">
        <v>-507113.2</v>
      </c>
      <c r="K162" s="14">
        <v>-78500.700000000012</v>
      </c>
      <c r="L162" s="14">
        <f t="shared" si="45"/>
        <v>2068594.4999999998</v>
      </c>
      <c r="M162" s="14">
        <f>23230.4+101.6</f>
        <v>23332</v>
      </c>
      <c r="N162" s="14">
        <f>1529705.1+73426.5-157.9-0-0-13851.3</f>
        <v>1589122.4000000001</v>
      </c>
      <c r="O162" s="54">
        <v>1196.1000000000001</v>
      </c>
      <c r="P162" s="54">
        <f t="shared" si="48"/>
        <v>14009.199999999999</v>
      </c>
      <c r="Q162" s="14">
        <f t="shared" si="46"/>
        <v>1627659.7000000002</v>
      </c>
      <c r="R162" s="14">
        <f t="shared" si="47"/>
        <v>3696254.2</v>
      </c>
      <c r="S162" s="14">
        <f t="shared" si="43"/>
        <v>3383428.3000000003</v>
      </c>
    </row>
    <row r="163" spans="1:19" s="51" customFormat="1" ht="18">
      <c r="A163" s="15" t="s">
        <v>88</v>
      </c>
      <c r="B163" s="14">
        <v>455598.79999999993</v>
      </c>
      <c r="C163" s="14">
        <v>-690936.09999999986</v>
      </c>
      <c r="D163" s="14">
        <f t="shared" si="39"/>
        <v>-235337.29999999993</v>
      </c>
      <c r="E163" s="14">
        <v>0</v>
      </c>
      <c r="F163" s="14">
        <f>0+0+0+90484+1457459.4+67289+19642.3+3186.1+14432.8</f>
        <v>1652493.6</v>
      </c>
      <c r="G163" s="14">
        <f>18507.3+123568.6+63.2+27463+150000+2000</f>
        <v>321602.09999999998</v>
      </c>
      <c r="H163" s="52">
        <v>6921.2</v>
      </c>
      <c r="I163" s="52">
        <v>708283.6</v>
      </c>
      <c r="J163" s="53">
        <v>-527260</v>
      </c>
      <c r="K163" s="14">
        <v>-72918.899999999994</v>
      </c>
      <c r="L163" s="14">
        <f t="shared" si="45"/>
        <v>2089121.6</v>
      </c>
      <c r="M163" s="14">
        <f>22344.7+101.6</f>
        <v>22446.3</v>
      </c>
      <c r="N163" s="14">
        <f>1543281+77417.4-157.9-0-0-13851.3</f>
        <v>1606689.2</v>
      </c>
      <c r="O163" s="54">
        <v>1185.1999999999998</v>
      </c>
      <c r="P163" s="54">
        <f t="shared" si="48"/>
        <v>14009.199999999999</v>
      </c>
      <c r="Q163" s="14">
        <f t="shared" si="46"/>
        <v>1644329.9</v>
      </c>
      <c r="R163" s="14">
        <f t="shared" si="47"/>
        <v>3733451.5</v>
      </c>
      <c r="S163" s="14">
        <f t="shared" si="43"/>
        <v>3498114.2</v>
      </c>
    </row>
    <row r="164" spans="1:19" s="51" customFormat="1" ht="12.75" customHeight="1">
      <c r="A164" s="64" t="s">
        <v>5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6"/>
    </row>
    <row r="165" spans="1:19" s="51" customFormat="1" ht="12.75" customHeight="1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9"/>
    </row>
    <row r="166" spans="1:19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6"/>
      <c r="L166" s="5"/>
      <c r="M166" s="5" t="s">
        <v>6</v>
      </c>
      <c r="N166" s="5"/>
      <c r="O166" s="9"/>
      <c r="P166" s="9"/>
      <c r="Q166" s="5"/>
      <c r="R166" s="5"/>
      <c r="S166" s="5"/>
    </row>
    <row r="167" spans="1:19">
      <c r="A167" s="3"/>
      <c r="B167" s="7"/>
      <c r="C167" s="7"/>
      <c r="D167" s="7"/>
      <c r="E167" s="3"/>
      <c r="F167" s="7"/>
      <c r="G167" s="7"/>
      <c r="H167" s="7"/>
      <c r="I167" s="7"/>
      <c r="J167" s="7"/>
      <c r="K167" s="3"/>
      <c r="L167" s="3"/>
      <c r="M167" s="7"/>
      <c r="N167" s="3"/>
      <c r="O167" s="10"/>
      <c r="P167" s="10"/>
      <c r="Q167" s="7"/>
      <c r="R167" s="3"/>
      <c r="S167" s="3"/>
    </row>
  </sheetData>
  <mergeCells count="9">
    <mergeCell ref="A164:S165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2"/>
  <sheetViews>
    <sheetView workbookViewId="0">
      <pane xSplit="1" ySplit="7" topLeftCell="Q50" activePane="bottomRight" state="frozen"/>
      <selection pane="topRight" activeCell="B1" sqref="B1"/>
      <selection pane="bottomLeft" activeCell="A8" sqref="A8"/>
      <selection pane="bottomRight" activeCell="R59" sqref="R59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9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4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9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 ht="18">
      <c r="A54" s="15" t="s">
        <v>69</v>
      </c>
      <c r="B54" s="14">
        <v>298513</v>
      </c>
      <c r="C54" s="14">
        <v>-533829</v>
      </c>
      <c r="D54" s="14">
        <f t="shared" si="18"/>
        <v>-235316</v>
      </c>
      <c r="E54" s="14">
        <v>0</v>
      </c>
      <c r="F54" s="14">
        <v>1264668.5</v>
      </c>
      <c r="G54" s="14">
        <v>69187.5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si="19"/>
        <v>1523301.5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2887725.5999999996</v>
      </c>
      <c r="S54" s="14">
        <f t="shared" si="22"/>
        <v>2652409.5999999996</v>
      </c>
    </row>
    <row r="55" spans="1:19" s="51" customFormat="1" ht="18">
      <c r="A55" s="15" t="s">
        <v>71</v>
      </c>
      <c r="B55" s="14">
        <v>388061.1999999999</v>
      </c>
      <c r="C55" s="14">
        <v>-603082.79999999981</v>
      </c>
      <c r="D55" s="14">
        <f t="shared" si="18"/>
        <v>-215021.59999999992</v>
      </c>
      <c r="E55" s="14">
        <v>0</v>
      </c>
      <c r="F55" s="14">
        <v>1373091.0000000002</v>
      </c>
      <c r="G55" s="14">
        <v>75978.7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ref="L55" si="23">SUM( (E55:K55))</f>
        <v>1648732.6</v>
      </c>
      <c r="M55" s="14">
        <v>42179.299999999988</v>
      </c>
      <c r="N55" s="14">
        <v>1340807.0000000002</v>
      </c>
      <c r="O55" s="54">
        <v>458.5</v>
      </c>
      <c r="P55" s="54">
        <v>13691.699999999999</v>
      </c>
      <c r="Q55" s="14">
        <f>SUM(M55:P55)</f>
        <v>1397136.5000000002</v>
      </c>
      <c r="R55" s="14">
        <f>SUM(L55,Q55)</f>
        <v>3045869.1000000006</v>
      </c>
      <c r="S55" s="14">
        <f t="shared" si="22"/>
        <v>2830847.5000000005</v>
      </c>
    </row>
    <row r="56" spans="1:19" s="51" customFormat="1" ht="18">
      <c r="A56" s="15" t="s">
        <v>75</v>
      </c>
      <c r="B56" s="14">
        <v>346877</v>
      </c>
      <c r="C56" s="14">
        <v>-636787.1</v>
      </c>
      <c r="D56" s="14">
        <f t="shared" si="18"/>
        <v>-289910.09999999998</v>
      </c>
      <c r="E56" s="14">
        <v>0</v>
      </c>
      <c r="F56" s="14">
        <f>0+0+0+51183+1270664.1+59841.5+17453.8+3073.8+14308.4</f>
        <v>1416524.6</v>
      </c>
      <c r="G56" s="14">
        <f>18507.3+106337.4+0+0</f>
        <v>124844.7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ref="L56:L59" si="24">SUM( (E56:K56))</f>
        <v>1692619.5999999999</v>
      </c>
      <c r="M56" s="14">
        <f>32139.3+101.6</f>
        <v>32240.899999999998</v>
      </c>
      <c r="N56" s="14">
        <f>1342009.3+66164.2-157.9-0-0-14108.7</f>
        <v>1393906.9000000001</v>
      </c>
      <c r="O56" s="54">
        <v>342.2</v>
      </c>
      <c r="P56" s="54">
        <f>157.9+0+0+14108.7</f>
        <v>14266.6</v>
      </c>
      <c r="Q56" s="14">
        <f t="shared" ref="Q56:Q59" si="25">SUM(M56:P56)</f>
        <v>1440756.6</v>
      </c>
      <c r="R56" s="14">
        <f t="shared" ref="R56:R59" si="26">SUM(L56,Q56)</f>
        <v>3133376.2</v>
      </c>
      <c r="S56" s="14">
        <f t="shared" si="22"/>
        <v>2843466.1</v>
      </c>
    </row>
    <row r="57" spans="1:19" s="51" customFormat="1" ht="18">
      <c r="A57" s="15" t="s">
        <v>80</v>
      </c>
      <c r="B57" s="14">
        <v>309848.40000000002</v>
      </c>
      <c r="C57" s="14">
        <v>-647711.69999999995</v>
      </c>
      <c r="D57" s="14">
        <f t="shared" si="18"/>
        <v>-337863.29999999993</v>
      </c>
      <c r="E57" s="14">
        <v>0</v>
      </c>
      <c r="F57" s="14">
        <f>0+0+0+59283+1350702.5+59204.6+19642.3+3152.5+14708.5</f>
        <v>1506693.4000000001</v>
      </c>
      <c r="G57" s="14">
        <f>18507.3+101272.9+0+21.1+5357.5</f>
        <v>125158.8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1828975.4000000004</v>
      </c>
      <c r="M57" s="14">
        <f>29577.4+101.6</f>
        <v>29679</v>
      </c>
      <c r="N57" s="14">
        <f>1426210.1+65000.9-157.9-0-0-13851.3</f>
        <v>1477201.8</v>
      </c>
      <c r="O57" s="54">
        <v>328.2</v>
      </c>
      <c r="P57" s="54">
        <f t="shared" ref="P57:P59" si="27">157.9+0+0+13851.3</f>
        <v>14009.199999999999</v>
      </c>
      <c r="Q57" s="14">
        <f t="shared" si="25"/>
        <v>1521218.2</v>
      </c>
      <c r="R57" s="14">
        <f t="shared" si="26"/>
        <v>3350193.6000000006</v>
      </c>
      <c r="S57" s="14">
        <f t="shared" si="22"/>
        <v>3012330.3000000007</v>
      </c>
    </row>
    <row r="58" spans="1:19" s="51" customFormat="1" ht="18">
      <c r="A58" s="15" t="s">
        <v>83</v>
      </c>
      <c r="B58" s="14">
        <v>371271.69999999995</v>
      </c>
      <c r="C58" s="14">
        <v>-670143.99999999988</v>
      </c>
      <c r="D58" s="14">
        <f t="shared" si="18"/>
        <v>-298872.29999999993</v>
      </c>
      <c r="E58" s="14">
        <v>0</v>
      </c>
      <c r="F58" s="14">
        <f>0+0+0+55534+1425779.5+58564.4+19642.3+3232.2+14913.5</f>
        <v>1577665.9</v>
      </c>
      <c r="G58" s="14">
        <f>18507.3+127767.4+42.1+25822.8+150000</f>
        <v>322139.59999999998</v>
      </c>
      <c r="H58" s="52">
        <v>12539.7</v>
      </c>
      <c r="I58" s="52">
        <v>713120.2</v>
      </c>
      <c r="J58" s="53">
        <v>-476293.60000000009</v>
      </c>
      <c r="K58" s="14">
        <v>-76753.3</v>
      </c>
      <c r="L58" s="14">
        <f t="shared" si="24"/>
        <v>2072418.4999999998</v>
      </c>
      <c r="M58" s="14">
        <f>30627.8+101.6</f>
        <v>30729.399999999998</v>
      </c>
      <c r="N58" s="14">
        <f>1492987.5+81515.3-157.9-0-0-13851.3</f>
        <v>1560493.6</v>
      </c>
      <c r="O58" s="54">
        <v>311</v>
      </c>
      <c r="P58" s="54">
        <f t="shared" si="27"/>
        <v>14009.199999999999</v>
      </c>
      <c r="Q58" s="14">
        <f t="shared" si="25"/>
        <v>1605543.2</v>
      </c>
      <c r="R58" s="14">
        <f t="shared" si="26"/>
        <v>3677961.6999999997</v>
      </c>
      <c r="S58" s="14">
        <f t="shared" si="22"/>
        <v>3379089.4</v>
      </c>
    </row>
    <row r="59" spans="1:19" s="51" customFormat="1" ht="18">
      <c r="A59" s="15" t="s">
        <v>88</v>
      </c>
      <c r="B59" s="14">
        <v>455598.79999999993</v>
      </c>
      <c r="C59" s="14">
        <v>-690936.09999999986</v>
      </c>
      <c r="D59" s="14">
        <f t="shared" si="18"/>
        <v>-235337.29999999993</v>
      </c>
      <c r="E59" s="14">
        <v>0</v>
      </c>
      <c r="F59" s="14">
        <f>0+0+0+90484+1457459.4+67289+19642.3+3186.1+14432.8</f>
        <v>1652493.6</v>
      </c>
      <c r="G59" s="14">
        <f>18507.3+123568.6+63.2+27463+150000+2000</f>
        <v>321602.09999999998</v>
      </c>
      <c r="H59" s="52">
        <v>6921.2</v>
      </c>
      <c r="I59" s="52">
        <v>708283.6</v>
      </c>
      <c r="J59" s="53">
        <v>-527260</v>
      </c>
      <c r="K59" s="14">
        <v>-72918.899999999994</v>
      </c>
      <c r="L59" s="14">
        <f t="shared" si="24"/>
        <v>2089121.6</v>
      </c>
      <c r="M59" s="14">
        <f>22344.7+101.6</f>
        <v>22446.3</v>
      </c>
      <c r="N59" s="14">
        <f>1543281+77417.4-157.9-0-0-13851.3</f>
        <v>1606689.2</v>
      </c>
      <c r="O59" s="54">
        <v>1185.1999999999998</v>
      </c>
      <c r="P59" s="54">
        <f t="shared" si="27"/>
        <v>14009.199999999999</v>
      </c>
      <c r="Q59" s="14">
        <f t="shared" si="25"/>
        <v>1644329.9</v>
      </c>
      <c r="R59" s="14">
        <f t="shared" si="26"/>
        <v>3733451.5</v>
      </c>
      <c r="S59" s="14">
        <f t="shared" si="22"/>
        <v>3498114.2</v>
      </c>
    </row>
    <row r="60" spans="1:19" s="51" customFormat="1">
      <c r="A60" s="64" t="s">
        <v>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6"/>
    </row>
    <row r="61" spans="1:19" s="51" customFormat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</row>
    <row r="62" spans="1:19" s="17" customFormat="1">
      <c r="A62" s="3"/>
      <c r="B62" s="5"/>
      <c r="C62" s="5"/>
      <c r="D62" s="5"/>
      <c r="E62" s="5"/>
      <c r="F62" s="5"/>
      <c r="G62" s="5"/>
      <c r="H62" s="5"/>
      <c r="I62" s="5"/>
      <c r="J62" s="5"/>
      <c r="K62" s="6"/>
      <c r="L62" s="5"/>
      <c r="M62" s="5" t="s">
        <v>6</v>
      </c>
      <c r="N62" s="5"/>
      <c r="O62" s="9"/>
      <c r="P62" s="9"/>
      <c r="Q62" s="5"/>
      <c r="R62" s="5"/>
      <c r="S62" s="5"/>
    </row>
  </sheetData>
  <mergeCells count="9">
    <mergeCell ref="A60:S61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3"/>
  <sheetViews>
    <sheetView tabSelected="1" workbookViewId="0">
      <pane xSplit="1" ySplit="7" topLeftCell="R14" activePane="bottomRight" state="frozen"/>
      <selection pane="topRight" activeCell="B1" sqref="B1"/>
      <selection pane="bottomLeft" activeCell="A8" sqref="A8"/>
      <selection pane="bottomRight" activeCell="S24" sqref="S24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 ht="18">
      <c r="A19" s="15" t="s">
        <v>72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1373091.0000000002</v>
      </c>
      <c r="G19" s="14">
        <v>75978.7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1648732.6</v>
      </c>
      <c r="M19" s="14">
        <v>42179.299999999988</v>
      </c>
      <c r="N19" s="14">
        <v>1340807.0000000002</v>
      </c>
      <c r="O19" s="54">
        <v>458.5</v>
      </c>
      <c r="P19" s="54">
        <v>13691.699999999999</v>
      </c>
      <c r="Q19" s="14">
        <f>SUM(M19:P19)</f>
        <v>1397136.5000000002</v>
      </c>
      <c r="R19" s="14">
        <f>SUM(L19,Q19)</f>
        <v>3045869.1000000006</v>
      </c>
      <c r="S19" s="14">
        <f t="shared" ref="S19:S20" si="12">SUM(D19,R19)</f>
        <v>2830847.5000000005</v>
      </c>
    </row>
    <row r="20" spans="1:19" s="51" customFormat="1" ht="18">
      <c r="A20" s="15" t="s">
        <v>89</v>
      </c>
      <c r="B20" s="14">
        <v>455598.79999999993</v>
      </c>
      <c r="C20" s="14">
        <v>-690936.09999999986</v>
      </c>
      <c r="D20" s="14">
        <f t="shared" si="10"/>
        <v>-235337.29999999993</v>
      </c>
      <c r="E20" s="14">
        <v>0</v>
      </c>
      <c r="F20" s="14">
        <f>0+0+0+90484+1457459.4+67289+19642.3+3186.1+14432.8</f>
        <v>1652493.6</v>
      </c>
      <c r="G20" s="14">
        <f>18507.3+123568.6+63.2+27463+150000+2000</f>
        <v>321602.09999999998</v>
      </c>
      <c r="H20" s="52">
        <v>6921.2</v>
      </c>
      <c r="I20" s="52">
        <v>708283.6</v>
      </c>
      <c r="J20" s="53">
        <v>-527260</v>
      </c>
      <c r="K20" s="14">
        <v>-72918.899999999994</v>
      </c>
      <c r="L20" s="14">
        <f t="shared" ref="L20" si="13">SUM( (E20:K20))</f>
        <v>2089121.6</v>
      </c>
      <c r="M20" s="14">
        <f>22344.7+101.6</f>
        <v>22446.3</v>
      </c>
      <c r="N20" s="14">
        <f>1543281+77417.4-157.9-0-0-13851.3</f>
        <v>1606689.2</v>
      </c>
      <c r="O20" s="54">
        <v>1185.1999999999998</v>
      </c>
      <c r="P20" s="54">
        <f t="shared" ref="P20" si="14">157.9+0+0+13851.3</f>
        <v>14009.199999999999</v>
      </c>
      <c r="Q20" s="14">
        <f t="shared" ref="Q20" si="15">SUM(M20:P20)</f>
        <v>1644329.9</v>
      </c>
      <c r="R20" s="14">
        <f t="shared" ref="R20" si="16">SUM(L20,Q20)</f>
        <v>3733451.5</v>
      </c>
      <c r="S20" s="14">
        <f t="shared" si="12"/>
        <v>3498114.2</v>
      </c>
    </row>
    <row r="21" spans="1:19" s="51" customFormat="1">
      <c r="A21" s="64" t="s">
        <v>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19" s="51" customForma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  <row r="23" spans="1:19" s="17" customFormat="1"/>
  </sheetData>
  <mergeCells count="9">
    <mergeCell ref="A21:S22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2021-03-16T10:00:25Z</dcterms:modified>
</cp:coreProperties>
</file>