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tabRatio="604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20" i="5" l="1"/>
  <c r="M20" i="5"/>
  <c r="G20" i="5"/>
  <c r="F20" i="5"/>
  <c r="L20" i="5" s="1"/>
  <c r="D20" i="5"/>
  <c r="Q19" i="5"/>
  <c r="L19" i="5"/>
  <c r="R19" i="5" s="1"/>
  <c r="D19" i="5"/>
  <c r="P61" i="4"/>
  <c r="N61" i="4"/>
  <c r="M61" i="4"/>
  <c r="G61" i="4"/>
  <c r="F61" i="4"/>
  <c r="D61" i="4"/>
  <c r="P60" i="4"/>
  <c r="N60" i="4"/>
  <c r="M60" i="4"/>
  <c r="G60" i="4"/>
  <c r="F60" i="4"/>
  <c r="L60" i="4" s="1"/>
  <c r="D60" i="4"/>
  <c r="P59" i="4"/>
  <c r="M59" i="4"/>
  <c r="G59" i="4"/>
  <c r="F59" i="4"/>
  <c r="D59" i="4"/>
  <c r="P58" i="4"/>
  <c r="Q58" i="4" s="1"/>
  <c r="G58" i="4"/>
  <c r="L58" i="4" s="1"/>
  <c r="D58" i="4"/>
  <c r="P57" i="4"/>
  <c r="Q57" i="4" s="1"/>
  <c r="G57" i="4"/>
  <c r="L57" i="4" s="1"/>
  <c r="D57" i="4"/>
  <c r="P56" i="4"/>
  <c r="Q56" i="4" s="1"/>
  <c r="G56" i="4"/>
  <c r="L56" i="4" s="1"/>
  <c r="D56" i="4"/>
  <c r="Q55" i="4"/>
  <c r="L55" i="4"/>
  <c r="D55" i="4"/>
  <c r="Q54" i="4"/>
  <c r="L54" i="4"/>
  <c r="D54" i="4"/>
  <c r="S19" i="5" l="1"/>
  <c r="Q20" i="5"/>
  <c r="R20" i="5" s="1"/>
  <c r="S20" i="5" s="1"/>
  <c r="Q61" i="4"/>
  <c r="Q59" i="4"/>
  <c r="Q60" i="4"/>
  <c r="R57" i="4"/>
  <c r="S57" i="4" s="1"/>
  <c r="R60" i="4"/>
  <c r="S60" i="4" s="1"/>
  <c r="R58" i="4"/>
  <c r="S58" i="4" s="1"/>
  <c r="L59" i="4"/>
  <c r="R54" i="4"/>
  <c r="S54" i="4" s="1"/>
  <c r="L61" i="4"/>
  <c r="R61" i="4" s="1"/>
  <c r="S61" i="4" s="1"/>
  <c r="R55" i="4"/>
  <c r="S55" i="4" s="1"/>
  <c r="R56" i="4"/>
  <c r="S56" i="4" s="1"/>
  <c r="R59" i="4" l="1"/>
  <c r="S59" i="4" s="1"/>
  <c r="P169" i="3" l="1"/>
  <c r="N169" i="3"/>
  <c r="M169" i="3"/>
  <c r="G169" i="3"/>
  <c r="F169" i="3"/>
  <c r="D169" i="3"/>
  <c r="P168" i="3"/>
  <c r="N168" i="3"/>
  <c r="M168" i="3"/>
  <c r="G168" i="3"/>
  <c r="F168" i="3"/>
  <c r="D168" i="3"/>
  <c r="P167" i="3"/>
  <c r="N167" i="3"/>
  <c r="M167" i="3"/>
  <c r="G167" i="3"/>
  <c r="F167" i="3"/>
  <c r="D167" i="3"/>
  <c r="P166" i="3"/>
  <c r="N166" i="3"/>
  <c r="M166" i="3"/>
  <c r="G166" i="3"/>
  <c r="F166" i="3"/>
  <c r="D166" i="3"/>
  <c r="P165" i="3"/>
  <c r="N165" i="3"/>
  <c r="M165" i="3"/>
  <c r="G165" i="3"/>
  <c r="F165" i="3"/>
  <c r="D165" i="3"/>
  <c r="P164" i="3"/>
  <c r="N164" i="3"/>
  <c r="M164" i="3"/>
  <c r="G164" i="3"/>
  <c r="F164" i="3"/>
  <c r="D164" i="3"/>
  <c r="P163" i="3"/>
  <c r="M163" i="3"/>
  <c r="G163" i="3"/>
  <c r="F163" i="3"/>
  <c r="D163" i="3"/>
  <c r="P162" i="3"/>
  <c r="Q162" i="3" s="1"/>
  <c r="G162" i="3"/>
  <c r="L162" i="3" s="1"/>
  <c r="D162" i="3"/>
  <c r="P161" i="3"/>
  <c r="Q161" i="3" s="1"/>
  <c r="G161" i="3"/>
  <c r="L161" i="3" s="1"/>
  <c r="D161" i="3"/>
  <c r="P160" i="3"/>
  <c r="Q160" i="3" s="1"/>
  <c r="G160" i="3"/>
  <c r="L160" i="3" s="1"/>
  <c r="D160" i="3"/>
  <c r="P159" i="3"/>
  <c r="Q159" i="3" s="1"/>
  <c r="G159" i="3"/>
  <c r="L159" i="3" s="1"/>
  <c r="D159" i="3"/>
  <c r="P158" i="3"/>
  <c r="Q158" i="3" s="1"/>
  <c r="G158" i="3"/>
  <c r="L158" i="3" s="1"/>
  <c r="R158" i="3" s="1"/>
  <c r="D158" i="3"/>
  <c r="P157" i="3"/>
  <c r="Q157" i="3" s="1"/>
  <c r="G157" i="3"/>
  <c r="L157" i="3" s="1"/>
  <c r="D157" i="3"/>
  <c r="P156" i="3"/>
  <c r="Q156" i="3" s="1"/>
  <c r="G156" i="3"/>
  <c r="L156" i="3" s="1"/>
  <c r="D156" i="3"/>
  <c r="P155" i="3"/>
  <c r="Q155" i="3" s="1"/>
  <c r="G155" i="3"/>
  <c r="L155" i="3" s="1"/>
  <c r="D155" i="3"/>
  <c r="P154" i="3"/>
  <c r="Q154" i="3" s="1"/>
  <c r="G154" i="3"/>
  <c r="L154" i="3" s="1"/>
  <c r="D154" i="3"/>
  <c r="P153" i="3"/>
  <c r="Q153" i="3" s="1"/>
  <c r="G153" i="3"/>
  <c r="L153" i="3" s="1"/>
  <c r="R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D148" i="3"/>
  <c r="Q147" i="3"/>
  <c r="L147" i="3"/>
  <c r="D147" i="3"/>
  <c r="Q146" i="3"/>
  <c r="L146" i="3"/>
  <c r="R146" i="3" s="1"/>
  <c r="D146" i="3"/>
  <c r="S153" i="3" l="1"/>
  <c r="R152" i="3"/>
  <c r="L163" i="3"/>
  <c r="R149" i="3"/>
  <c r="R162" i="3"/>
  <c r="S162" i="3" s="1"/>
  <c r="R150" i="3"/>
  <c r="S150" i="3" s="1"/>
  <c r="S158" i="3"/>
  <c r="R148" i="3"/>
  <c r="S148" i="3" s="1"/>
  <c r="R157" i="3"/>
  <c r="S157" i="3" s="1"/>
  <c r="L164" i="3"/>
  <c r="Q165" i="3"/>
  <c r="L168" i="3"/>
  <c r="Q169" i="3"/>
  <c r="R147" i="3"/>
  <c r="R160" i="3"/>
  <c r="S160" i="3" s="1"/>
  <c r="S152" i="3"/>
  <c r="L166" i="3"/>
  <c r="Q167" i="3"/>
  <c r="R156" i="3"/>
  <c r="S156" i="3" s="1"/>
  <c r="Q163" i="3"/>
  <c r="R163" i="3" s="1"/>
  <c r="S163" i="3" s="1"/>
  <c r="S149" i="3"/>
  <c r="S147" i="3"/>
  <c r="L165" i="3"/>
  <c r="L169" i="3"/>
  <c r="Q166" i="3"/>
  <c r="R154" i="3"/>
  <c r="S154" i="3" s="1"/>
  <c r="R155" i="3"/>
  <c r="S155" i="3" s="1"/>
  <c r="R151" i="3"/>
  <c r="S151" i="3" s="1"/>
  <c r="R159" i="3"/>
  <c r="S159" i="3" s="1"/>
  <c r="Q164" i="3"/>
  <c r="L167" i="3"/>
  <c r="Q168" i="3"/>
  <c r="S146" i="3"/>
  <c r="R161" i="3"/>
  <c r="S161" i="3" s="1"/>
  <c r="R165" i="3" l="1"/>
  <c r="S165" i="3" s="1"/>
  <c r="R168" i="3"/>
  <c r="S168" i="3" s="1"/>
  <c r="R164" i="3"/>
  <c r="S164" i="3" s="1"/>
  <c r="R169" i="3"/>
  <c r="S169" i="3" s="1"/>
  <c r="R167" i="3"/>
  <c r="S167" i="3" s="1"/>
  <c r="R166" i="3"/>
  <c r="S166" i="3" s="1"/>
  <c r="Q53" i="4" l="1"/>
  <c r="L53" i="4"/>
  <c r="D53" i="4"/>
  <c r="Q52" i="4"/>
  <c r="L52" i="4"/>
  <c r="D52" i="4"/>
  <c r="R53" i="4" l="1"/>
  <c r="S53" i="4" s="1"/>
  <c r="R52" i="4"/>
  <c r="S52" i="4" s="1"/>
  <c r="Q145" i="3" l="1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0" i="3" l="1"/>
  <c r="S140" i="3" s="1"/>
  <c r="R144" i="3"/>
  <c r="S144" i="3" s="1"/>
  <c r="R142" i="3"/>
  <c r="S142" i="3" s="1"/>
  <c r="R145" i="3"/>
  <c r="S145" i="3" s="1"/>
  <c r="R141" i="3"/>
  <c r="S141" i="3" s="1"/>
  <c r="R143" i="3"/>
  <c r="S143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S66" i="3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18" i="3" l="1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<sst xmlns="http://schemas.openxmlformats.org/spreadsheetml/2006/main" count="214" uniqueCount="73">
  <si>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</si>
  <si>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</si>
  <si>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</si>
  <si>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</si>
  <si>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</si>
  <si>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</si>
  <si>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</si>
  <si>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</si>
  <si>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</si>
  <si>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</si>
  <si>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</si>
  <si>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</si>
  <si>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</si>
  <si>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</si>
  <si>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</si>
  <si>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</si>
  <si>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</si>
  <si>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</si>
  <si>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</si>
  <si>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</si>
  <si>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</si>
  <si>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</si>
  <si>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</si>
  <si>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</si>
  <si>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</si>
  <si>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</si>
  <si>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</si>
  <si>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</si>
  <si>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</si>
  <si>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</si>
  <si>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</si>
  <si>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</si>
  <si>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</si>
  <si>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</si>
  <si>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</si>
  <si>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</si>
  <si>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</si>
  <si>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</si>
  <si>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</si>
  <si>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</si>
  <si>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</si>
  <si>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</si>
  <si>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</si>
  <si>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</si>
  <si>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</si>
  <si>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</si>
  <si>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</si>
  <si>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</si>
  <si>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</si>
  <si>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</si>
  <si>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</si>
  <si>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</si>
  <si>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</si>
  <si>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</si>
  <si>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</si>
  <si>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</si>
  <si>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</si>
  <si>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</si>
  <si>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</si>
  <si>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</si>
  <si>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</si>
  <si>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</si>
  <si>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</si>
  <si>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</si>
  <si>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</si>
  <si>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</si>
  <si>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</si>
  <si>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</si>
  <si>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t>2020</t>
  </si>
  <si>
    <t>Q2-2021</t>
  </si>
  <si>
    <r>
      <t>Avril-21</t>
    </r>
    <r>
      <rPr>
        <vertAlign val="superscript"/>
        <sz val="12"/>
        <rFont val="Calibri"/>
        <family val="2"/>
        <scheme val="minor"/>
      </rPr>
      <t>(p)</t>
    </r>
  </si>
  <si>
    <r>
      <t>Mai-21</t>
    </r>
    <r>
      <rPr>
        <vertAlign val="superscript"/>
        <sz val="12"/>
        <rFont val="Calibri"/>
        <family val="2"/>
        <scheme val="minor"/>
      </rPr>
      <t>(p)</t>
    </r>
  </si>
  <si>
    <r>
      <t>Juin-21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</si>
</sst>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topLeftCell="D1" workbookViewId="0">
      <selection activeCell="D24" sqref="D24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44377</v>
      </c>
    </row>
    <row r="12" spans="2:5">
      <c r="B12" s="25" t="s">
        <v>28</v>
      </c>
      <c r="C12" s="26" t="s">
        <v>37</v>
      </c>
      <c r="D12" s="26" t="s">
        <v>28</v>
      </c>
      <c r="E12" s="28" t="s">
        <v>69</v>
      </c>
    </row>
    <row r="13" spans="2:5">
      <c r="B13" s="25" t="s">
        <v>29</v>
      </c>
      <c r="C13" s="26" t="s">
        <v>38</v>
      </c>
      <c r="D13" s="26" t="s">
        <v>29</v>
      </c>
      <c r="E13" s="27" t="s">
        <v>68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73"/>
  <sheetViews>
    <sheetView workbookViewId="0">
      <pane xSplit="1" ySplit="7" topLeftCell="B167" activePane="bottomRight" state="frozen"/>
      <selection pane="topRight" activeCell="B1" sqref="B1"/>
      <selection pane="bottomLeft" activeCell="A8" sqref="A8"/>
      <selection pane="bottomRight" activeCell="A162" sqref="A162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42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42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42" si="6">L40+Q40</f>
        <v>687759.5</v>
      </c>
      <c r="S40" s="14">
        <f t="shared" ref="S40:S42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ref="D43:D91" si="8">SUM(B43:C43)</f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" si="9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ref="R43" si="10">SUM(L43,Q43)</f>
        <v>726774.8</v>
      </c>
      <c r="S43" s="14">
        <f t="shared" ref="S43" si="11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8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ref="L44:L55" si="12">SUM( (E44:K44))</f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3" si="13">SUM(M44:P44)</f>
        <v>521087.8833333333</v>
      </c>
      <c r="R44" s="14">
        <f t="shared" ref="R44:R55" si="14">SUM(L44,Q44)</f>
        <v>700319.79999999993</v>
      </c>
      <c r="S44" s="14">
        <f t="shared" ref="S44:S55" si="15">SUM(D44,R44)</f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8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12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13"/>
        <v>537658.2666666666</v>
      </c>
      <c r="R45" s="14">
        <f t="shared" si="14"/>
        <v>689978.2</v>
      </c>
      <c r="S45" s="14">
        <f t="shared" si="15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8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12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13"/>
        <v>546898.84999999986</v>
      </c>
      <c r="R46" s="14">
        <f t="shared" si="14"/>
        <v>724061.59999999986</v>
      </c>
      <c r="S46" s="14">
        <f t="shared" si="15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8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12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13"/>
        <v>554066.83333333337</v>
      </c>
      <c r="R47" s="14">
        <f t="shared" si="14"/>
        <v>726593.10000000009</v>
      </c>
      <c r="S47" s="14">
        <f t="shared" si="15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8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12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13"/>
        <v>575108.41666666674</v>
      </c>
      <c r="R48" s="14">
        <f t="shared" si="14"/>
        <v>749326.70000000007</v>
      </c>
      <c r="S48" s="14">
        <f t="shared" si="15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8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12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13"/>
        <v>606705.5</v>
      </c>
      <c r="R49" s="14">
        <f t="shared" si="14"/>
        <v>793891.70000000007</v>
      </c>
      <c r="S49" s="14">
        <f t="shared" si="15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8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12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13"/>
        <v>626228.89999999991</v>
      </c>
      <c r="R50" s="14">
        <f t="shared" si="14"/>
        <v>840215.45</v>
      </c>
      <c r="S50" s="14">
        <f t="shared" si="15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8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12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13"/>
        <v>645893.9</v>
      </c>
      <c r="R51" s="14">
        <f t="shared" si="14"/>
        <v>845670</v>
      </c>
      <c r="S51" s="14">
        <f t="shared" si="15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8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12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13"/>
        <v>653326.60000000009</v>
      </c>
      <c r="R52" s="14">
        <f t="shared" si="14"/>
        <v>853601.05</v>
      </c>
      <c r="S52" s="14">
        <f t="shared" si="15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8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12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13"/>
        <v>670585.19999999984</v>
      </c>
      <c r="R53" s="14">
        <f t="shared" si="14"/>
        <v>881535.69999999984</v>
      </c>
      <c r="S53" s="14">
        <f t="shared" si="15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8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12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13"/>
        <v>680667.40000000014</v>
      </c>
      <c r="R54" s="14">
        <f t="shared" si="14"/>
        <v>861229.75000000012</v>
      </c>
      <c r="S54" s="14">
        <f t="shared" si="15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8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12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13"/>
        <v>669978.29999999993</v>
      </c>
      <c r="R55" s="14">
        <f t="shared" si="14"/>
        <v>902314.7</v>
      </c>
      <c r="S55" s="14">
        <f t="shared" si="15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8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ref="L56:L67" si="16">SUM( (E56:K56))</f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13"/>
        <v>674384.7416666667</v>
      </c>
      <c r="R56" s="14">
        <f t="shared" ref="R56:R67" si="17">SUM(L56,Q56)</f>
        <v>830828.79166666674</v>
      </c>
      <c r="S56" s="14">
        <f t="shared" ref="S56:S67" si="18">SUM(D56,R56)</f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8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16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13"/>
        <v>680455.78333333333</v>
      </c>
      <c r="R57" s="14">
        <f t="shared" si="17"/>
        <v>842346.08333333326</v>
      </c>
      <c r="S57" s="14">
        <f t="shared" si="1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8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16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13"/>
        <v>689938.82500000007</v>
      </c>
      <c r="R58" s="14">
        <f t="shared" si="17"/>
        <v>849690.57500000007</v>
      </c>
      <c r="S58" s="14">
        <f t="shared" si="1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8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16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13"/>
        <v>696858.3666666667</v>
      </c>
      <c r="R59" s="14">
        <f t="shared" si="17"/>
        <v>882818.16666666674</v>
      </c>
      <c r="S59" s="14">
        <f t="shared" si="1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8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16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13"/>
        <v>727450.60833333328</v>
      </c>
      <c r="R60" s="14">
        <f t="shared" si="17"/>
        <v>912611.35833333328</v>
      </c>
      <c r="S60" s="14">
        <f t="shared" si="1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8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16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13"/>
        <v>751668.55000000016</v>
      </c>
      <c r="R61" s="14">
        <f t="shared" si="17"/>
        <v>957548.55000000016</v>
      </c>
      <c r="S61" s="14">
        <f t="shared" si="1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8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16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13"/>
        <v>755931.37499999988</v>
      </c>
      <c r="R62" s="14">
        <f t="shared" si="17"/>
        <v>968099.62499999988</v>
      </c>
      <c r="S62" s="14">
        <f t="shared" si="1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8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16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13"/>
        <v>774962.20000000007</v>
      </c>
      <c r="R63" s="14">
        <f t="shared" si="17"/>
        <v>997252.5</v>
      </c>
      <c r="S63" s="14">
        <f t="shared" si="1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8"/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16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13"/>
        <v>767549.52500000002</v>
      </c>
      <c r="R64" s="14">
        <f t="shared" si="17"/>
        <v>971229.67500000005</v>
      </c>
      <c r="S64" s="14">
        <f t="shared" si="1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8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16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13"/>
        <v>776707.24999999988</v>
      </c>
      <c r="R65" s="14">
        <f t="shared" si="17"/>
        <v>985003.04999999993</v>
      </c>
      <c r="S65" s="14">
        <f t="shared" si="1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8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16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13"/>
        <v>780349.27500000002</v>
      </c>
      <c r="R66" s="14">
        <f t="shared" si="17"/>
        <v>1012254.2250000001</v>
      </c>
      <c r="S66" s="14">
        <f t="shared" si="1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8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16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13"/>
        <v>763973.20000000007</v>
      </c>
      <c r="R67" s="14">
        <f t="shared" si="17"/>
        <v>1041184</v>
      </c>
      <c r="S67" s="14">
        <f t="shared" si="1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8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ref="L68:L79" si="19">SUM( (E68:K68))</f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13"/>
        <v>789335.22499999986</v>
      </c>
      <c r="R68" s="14">
        <f t="shared" ref="R68:R79" si="20">SUM(L68,Q68)</f>
        <v>1024238.2583333332</v>
      </c>
      <c r="S68" s="14">
        <f t="shared" ref="S68:S79" si="21">SUM(D68,R68)</f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8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19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13"/>
        <v>794559.05000000016</v>
      </c>
      <c r="R69" s="14">
        <f t="shared" si="20"/>
        <v>1004169.9166666669</v>
      </c>
      <c r="S69" s="14">
        <f t="shared" si="21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8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19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13"/>
        <v>806260.77499999991</v>
      </c>
      <c r="R70" s="14">
        <f t="shared" si="20"/>
        <v>1048171.4749999999</v>
      </c>
      <c r="S70" s="14">
        <f t="shared" si="21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8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19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13"/>
        <v>805350.6</v>
      </c>
      <c r="R71" s="14">
        <f t="shared" si="20"/>
        <v>1080646.7333333334</v>
      </c>
      <c r="S71" s="14">
        <f t="shared" si="21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8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19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13"/>
        <v>812119.72499999986</v>
      </c>
      <c r="R72" s="14">
        <f t="shared" si="20"/>
        <v>1081772.9916666667</v>
      </c>
      <c r="S72" s="14">
        <f t="shared" si="21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8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1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13"/>
        <v>817820.15</v>
      </c>
      <c r="R73" s="14">
        <f t="shared" si="20"/>
        <v>1101832.6499999999</v>
      </c>
      <c r="S73" s="14">
        <f t="shared" si="2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8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1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13"/>
        <v>840879.60833333316</v>
      </c>
      <c r="R74" s="14">
        <f t="shared" si="20"/>
        <v>1094141.3083333331</v>
      </c>
      <c r="S74" s="14">
        <f t="shared" si="2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8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si="1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13"/>
        <v>846706.66666666663</v>
      </c>
      <c r="R75" s="14">
        <f t="shared" si="20"/>
        <v>1149594.0666666667</v>
      </c>
      <c r="S75" s="14">
        <f t="shared" si="2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8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9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3"/>
        <v>862804.82499999984</v>
      </c>
      <c r="R76" s="14">
        <f t="shared" si="20"/>
        <v>1152969.6249999998</v>
      </c>
      <c r="S76" s="14">
        <f t="shared" si="2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8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9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3"/>
        <v>858072.9833333334</v>
      </c>
      <c r="R77" s="14">
        <f t="shared" si="20"/>
        <v>1151647.6833333333</v>
      </c>
      <c r="S77" s="14">
        <f t="shared" si="2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8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3"/>
        <v>855897.04166666674</v>
      </c>
      <c r="R78" s="14">
        <f t="shared" si="20"/>
        <v>1160123.2416666667</v>
      </c>
      <c r="S78" s="14">
        <f t="shared" si="2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8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9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3"/>
        <v>850544.80000000016</v>
      </c>
      <c r="R79" s="14">
        <f t="shared" si="20"/>
        <v>1124183.4000000001</v>
      </c>
      <c r="S79" s="14">
        <f t="shared" si="2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8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ref="L80:L91" si="22">SUM( (E80:K80))</f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3"/>
        <v>859373.2583333333</v>
      </c>
      <c r="R80" s="14">
        <f t="shared" ref="R80:R91" si="23">SUM(L80,Q80)</f>
        <v>1122346.7833333332</v>
      </c>
      <c r="S80" s="14">
        <f t="shared" ref="S80:S91" si="24">SUM(D80,R80)</f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8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22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3"/>
        <v>863648.91666666663</v>
      </c>
      <c r="R81" s="14">
        <f t="shared" si="23"/>
        <v>1124424.8666666665</v>
      </c>
      <c r="S81" s="14">
        <f t="shared" si="24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8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22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3"/>
        <v>850785.07499999995</v>
      </c>
      <c r="R82" s="14">
        <f t="shared" si="23"/>
        <v>1133842.1499999999</v>
      </c>
      <c r="S82" s="14">
        <f t="shared" si="24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8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22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3"/>
        <v>855101.73333333328</v>
      </c>
      <c r="R83" s="14">
        <f t="shared" si="23"/>
        <v>1187468.833333333</v>
      </c>
      <c r="S83" s="14">
        <f t="shared" si="24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8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22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3"/>
        <v>862817.69166666677</v>
      </c>
      <c r="R84" s="14">
        <f t="shared" si="23"/>
        <v>1207561.9166666667</v>
      </c>
      <c r="S84" s="14">
        <f t="shared" si="24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8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22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3"/>
        <v>884416.15</v>
      </c>
      <c r="R85" s="14">
        <f t="shared" si="23"/>
        <v>1244249.5999999999</v>
      </c>
      <c r="S85" s="14">
        <f t="shared" si="24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8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22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3"/>
        <v>898141.29166666674</v>
      </c>
      <c r="R86" s="14">
        <f t="shared" si="23"/>
        <v>1284645.5833333335</v>
      </c>
      <c r="S86" s="14">
        <f t="shared" si="24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8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22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3"/>
        <v>918237.17777777766</v>
      </c>
      <c r="R87" s="14">
        <f t="shared" si="23"/>
        <v>1318845.9666666666</v>
      </c>
      <c r="S87" s="14">
        <f t="shared" si="24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8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22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3"/>
        <v>908758.68611111108</v>
      </c>
      <c r="R88" s="14">
        <f t="shared" si="23"/>
        <v>1201160.1000000001</v>
      </c>
      <c r="S88" s="14">
        <f t="shared" si="24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8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22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3"/>
        <v>914146.34259259258</v>
      </c>
      <c r="R89" s="14">
        <f t="shared" si="23"/>
        <v>1276248.6666666665</v>
      </c>
      <c r="S89" s="14">
        <f t="shared" si="24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8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22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3"/>
        <v>923306.06450617278</v>
      </c>
      <c r="R90" s="14">
        <f t="shared" si="23"/>
        <v>1252287.1555555554</v>
      </c>
      <c r="S90" s="14">
        <f t="shared" si="24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8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22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3"/>
        <v>938162.1</v>
      </c>
      <c r="R91" s="14">
        <f t="shared" si="23"/>
        <v>1320491.4000000001</v>
      </c>
      <c r="S91" s="14">
        <f t="shared" si="24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>SUM(B92:C92)</f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ref="L92:L103" si="25">SUM( (E92:K92))</f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3"/>
        <v>933448.19999999984</v>
      </c>
      <c r="R92" s="14">
        <f t="shared" ref="R92:R103" si="26">SUM(L92,Q92)</f>
        <v>1295599.5499999998</v>
      </c>
      <c r="S92" s="14">
        <f t="shared" ref="S92:S103" si="27">SUM(D92,R92)</f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>SUM(B93:C93)</f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25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3"/>
        <v>922829.2</v>
      </c>
      <c r="R93" s="14">
        <f t="shared" si="26"/>
        <v>1317464.3999999999</v>
      </c>
      <c r="S93" s="14">
        <f t="shared" si="27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ref="D94:D103" si="28">SUM(B94:C94)</f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25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3"/>
        <v>925639.8</v>
      </c>
      <c r="R94" s="14">
        <f t="shared" si="26"/>
        <v>1269286.1500000001</v>
      </c>
      <c r="S94" s="14">
        <f t="shared" si="27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28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25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3"/>
        <v>944191.30000000016</v>
      </c>
      <c r="R95" s="14">
        <f t="shared" si="26"/>
        <v>1322564.5</v>
      </c>
      <c r="S95" s="14">
        <f t="shared" si="27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si="28"/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25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3"/>
        <v>950607.29999999993</v>
      </c>
      <c r="R96" s="14">
        <f t="shared" si="26"/>
        <v>1371839.0499999998</v>
      </c>
      <c r="S96" s="14">
        <f t="shared" si="27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28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25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3"/>
        <v>949388.49999999977</v>
      </c>
      <c r="R97" s="14">
        <f t="shared" si="26"/>
        <v>1412956.4999999998</v>
      </c>
      <c r="S97" s="14">
        <f t="shared" si="27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28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25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3"/>
        <v>962096.18333333312</v>
      </c>
      <c r="R98" s="14">
        <f t="shared" si="26"/>
        <v>1454947.4166666665</v>
      </c>
      <c r="S98" s="14">
        <f t="shared" si="27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28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25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3"/>
        <v>963937.5</v>
      </c>
      <c r="R99" s="14">
        <f t="shared" si="26"/>
        <v>1497020.7666666666</v>
      </c>
      <c r="S99" s="14">
        <f t="shared" si="27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28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25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3"/>
        <v>965238.48333333316</v>
      </c>
      <c r="R100" s="14">
        <f t="shared" si="26"/>
        <v>1531163.7333333332</v>
      </c>
      <c r="S100" s="14">
        <f t="shared" si="27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28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25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3"/>
        <v>959352.74444444443</v>
      </c>
      <c r="R101" s="14">
        <f t="shared" si="26"/>
        <v>1586318.4111111111</v>
      </c>
      <c r="S101" s="14">
        <f t="shared" si="27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25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3"/>
        <v>921716.45740740735</v>
      </c>
      <c r="R102" s="14">
        <f t="shared" si="26"/>
        <v>1577901.8296296296</v>
      </c>
      <c r="S102" s="14">
        <f t="shared" si="27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28"/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25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3"/>
        <v>901609.6</v>
      </c>
      <c r="R103" s="14">
        <f t="shared" si="26"/>
        <v>1587469.9</v>
      </c>
      <c r="S103" s="14">
        <f t="shared" si="27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>SUM(B104:C104)</f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ref="L104:L115" si="29">SUM( (E104:K104))</f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ref="Q104:Q138" si="30">SUM(M104:P104)</f>
        <v>915135.20833333326</v>
      </c>
      <c r="R104" s="14">
        <f t="shared" ref="R104:R115" si="31">SUM(L104,Q104)</f>
        <v>1607523.4999999998</v>
      </c>
      <c r="S104" s="14">
        <f t="shared" ref="S104:S115" si="32">SUM(D104,R104)</f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>SUM(B105:C105)</f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29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30"/>
        <v>918317.81666666677</v>
      </c>
      <c r="R105" s="14">
        <f t="shared" si="31"/>
        <v>1651975.4000000001</v>
      </c>
      <c r="S105" s="14">
        <f t="shared" si="32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ref="D106:D113" si="33">SUM(B106:C106)</f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29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30"/>
        <v>921252.42500000005</v>
      </c>
      <c r="R106" s="14">
        <f t="shared" si="31"/>
        <v>1644289.4</v>
      </c>
      <c r="S106" s="14">
        <f t="shared" si="32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33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si="29"/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30"/>
        <v>920755.73333333328</v>
      </c>
      <c r="R107" s="14">
        <f t="shared" si="31"/>
        <v>1688714.6999999997</v>
      </c>
      <c r="S107" s="14">
        <f t="shared" si="32"/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33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29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30"/>
        <v>938117.04166666651</v>
      </c>
      <c r="R108" s="14">
        <f t="shared" si="31"/>
        <v>1718600.5</v>
      </c>
      <c r="S108" s="14">
        <f t="shared" si="32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33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29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30"/>
        <v>957313.64999999991</v>
      </c>
      <c r="R109" s="14">
        <f t="shared" si="31"/>
        <v>1744051.4</v>
      </c>
      <c r="S109" s="14">
        <f t="shared" si="32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33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29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30"/>
        <v>956292.65833333333</v>
      </c>
      <c r="R110" s="14">
        <f t="shared" si="31"/>
        <v>1762520.2</v>
      </c>
      <c r="S110" s="14">
        <f t="shared" si="32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33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29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30"/>
        <v>981295.46666666691</v>
      </c>
      <c r="R111" s="14">
        <f t="shared" si="31"/>
        <v>1793015.5000000002</v>
      </c>
      <c r="S111" s="14">
        <f t="shared" si="32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33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29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30"/>
        <v>978332.875</v>
      </c>
      <c r="R112" s="14">
        <f t="shared" si="31"/>
        <v>1803442</v>
      </c>
      <c r="S112" s="14">
        <f t="shared" si="32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33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29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30"/>
        <v>976493.68333333335</v>
      </c>
      <c r="R113" s="14">
        <f t="shared" si="31"/>
        <v>1824446.9333333331</v>
      </c>
      <c r="S113" s="14">
        <f t="shared" si="32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>SUM(B114:C114)</f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29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30"/>
        <v>969275.80277777778</v>
      </c>
      <c r="R114" s="14">
        <f t="shared" si="31"/>
        <v>1851613.2888888889</v>
      </c>
      <c r="S114" s="14">
        <f t="shared" si="32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>SUM(B115:C115)</f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29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30"/>
        <v>987480.9</v>
      </c>
      <c r="R115" s="14">
        <f t="shared" si="31"/>
        <v>1891284.1</v>
      </c>
      <c r="S115" s="14">
        <f t="shared" si="32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>SUM(B116:C116)</f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5" si="34">SUM( (E116:K116))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30"/>
        <v>984566.96666666679</v>
      </c>
      <c r="R116" s="14">
        <f t="shared" ref="R116:R136" si="35">SUM(L116,Q116)</f>
        <v>1898792.1666666667</v>
      </c>
      <c r="S116" s="14">
        <f t="shared" ref="S116:S136" si="36">SUM(D116,R116)</f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ref="D117:D123" si="37">SUM(B117:C117)</f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34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30"/>
        <v>945406.23333333363</v>
      </c>
      <c r="R117" s="14">
        <f t="shared" si="35"/>
        <v>1872970.5333333337</v>
      </c>
      <c r="S117" s="14">
        <f t="shared" si="36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37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34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30"/>
        <v>939571.9</v>
      </c>
      <c r="R118" s="14">
        <f t="shared" si="35"/>
        <v>1922712.7999999998</v>
      </c>
      <c r="S118" s="14">
        <f t="shared" si="36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37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34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30"/>
        <v>936816.73333333351</v>
      </c>
      <c r="R119" s="14">
        <f t="shared" si="35"/>
        <v>1933695.5000000002</v>
      </c>
      <c r="S119" s="14">
        <f t="shared" si="36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37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34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30"/>
        <v>954291.76666666672</v>
      </c>
      <c r="R120" s="14">
        <f t="shared" si="35"/>
        <v>1930108.6000000003</v>
      </c>
      <c r="S120" s="14">
        <f t="shared" si="36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37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34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30"/>
        <v>1002539.9</v>
      </c>
      <c r="R121" s="14">
        <f t="shared" si="35"/>
        <v>2022047.2000000002</v>
      </c>
      <c r="S121" s="14">
        <f t="shared" si="36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37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34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30"/>
        <v>1024436.9333333333</v>
      </c>
      <c r="R122" s="14">
        <f t="shared" si="35"/>
        <v>2029057.2166666668</v>
      </c>
      <c r="S122" s="14">
        <f t="shared" si="36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37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34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30"/>
        <v>1041639.5666666668</v>
      </c>
      <c r="R123" s="14">
        <f t="shared" si="35"/>
        <v>2081128.9333333333</v>
      </c>
      <c r="S123" s="14">
        <f t="shared" si="36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>SUM(B124:C124)</f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34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30"/>
        <v>1059038.5</v>
      </c>
      <c r="R124" s="14">
        <f t="shared" si="35"/>
        <v>2104083.25</v>
      </c>
      <c r="S124" s="14">
        <f t="shared" si="36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>SUM(B125:C125)</f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34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30"/>
        <v>1068280.0999999996</v>
      </c>
      <c r="R125" s="14">
        <f t="shared" si="35"/>
        <v>2073501.3666666662</v>
      </c>
      <c r="S125" s="14">
        <f t="shared" si="36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>SUM(B126:C126)</f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34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30"/>
        <v>1078072.1000000001</v>
      </c>
      <c r="R126" s="14">
        <f t="shared" si="35"/>
        <v>2127078.7833333337</v>
      </c>
      <c r="S126" s="14">
        <f t="shared" si="36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>SUM(B127:C127)</f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34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30"/>
        <v>1026681.2000000001</v>
      </c>
      <c r="R127" s="14">
        <f t="shared" si="35"/>
        <v>2149762.7000000002</v>
      </c>
      <c r="S127" s="14">
        <f t="shared" si="36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ref="D128:D135" si="38">SUM(B128:C128)</f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>SUM( (E128:K128))</f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30"/>
        <v>1027022.0666666665</v>
      </c>
      <c r="R128" s="14">
        <f t="shared" si="35"/>
        <v>2148271.4</v>
      </c>
      <c r="S128" s="14">
        <f t="shared" si="36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38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34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30"/>
        <v>1051275.4333333336</v>
      </c>
      <c r="R129" s="14">
        <f t="shared" si="35"/>
        <v>2201214.1000000006</v>
      </c>
      <c r="S129" s="14">
        <f t="shared" si="36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38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34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30"/>
        <v>1048425.5999999999</v>
      </c>
      <c r="R130" s="14">
        <f t="shared" si="35"/>
        <v>2204973.7000000002</v>
      </c>
      <c r="S130" s="14">
        <f t="shared" si="36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38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34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30"/>
        <v>1054399.3666666667</v>
      </c>
      <c r="R131" s="14">
        <f t="shared" si="35"/>
        <v>2206526.5333333337</v>
      </c>
      <c r="S131" s="14">
        <f t="shared" si="36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38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34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30"/>
        <v>1051445.9333333333</v>
      </c>
      <c r="R132" s="14">
        <f t="shared" si="35"/>
        <v>2227122.3666666672</v>
      </c>
      <c r="S132" s="14">
        <f t="shared" si="36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38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34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30"/>
        <v>1118043.6000000001</v>
      </c>
      <c r="R133" s="14">
        <f t="shared" si="35"/>
        <v>2318484.7999999998</v>
      </c>
      <c r="S133" s="14">
        <f t="shared" si="36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38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34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30"/>
        <v>1157786.8</v>
      </c>
      <c r="R134" s="14">
        <f t="shared" si="35"/>
        <v>2376447.4000000004</v>
      </c>
      <c r="S134" s="14">
        <f t="shared" si="36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si="38"/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34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30"/>
        <v>1169160.3999999997</v>
      </c>
      <c r="R135" s="14">
        <f t="shared" si="35"/>
        <v>2408112.0999999996</v>
      </c>
      <c r="S135" s="14">
        <f>SUM(D135,R135)</f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>SUM(B136:C136)</f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30"/>
        <v>1188967</v>
      </c>
      <c r="R136" s="14">
        <f t="shared" si="35"/>
        <v>2439708.4000000004</v>
      </c>
      <c r="S136" s="14">
        <f t="shared" si="36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>SUM(B137:C137)</f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>SUM( (E137:K137))</f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30"/>
        <v>1225123.9333333333</v>
      </c>
      <c r="R137" s="14">
        <f>SUM(L137,Q137)</f>
        <v>2511763.4333333336</v>
      </c>
      <c r="S137" s="14">
        <f>SUM(D137,R137)</f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>SUM(B138:C138)</f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>SUM( (E138:K138))</f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30"/>
        <v>1231078.1666666665</v>
      </c>
      <c r="R138" s="14">
        <f>SUM(L138,Q138)</f>
        <v>2557789.666666666</v>
      </c>
      <c r="S138" s="14">
        <f>SUM(D138,R138)</f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>SUM(B139:C139)</f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>SUM(M139:P139)</f>
        <v>1197377.6000000003</v>
      </c>
      <c r="R139" s="14">
        <f>SUM(L139,Q139)</f>
        <v>2547686.4000000004</v>
      </c>
      <c r="S139" s="14">
        <f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ref="D140:D145" si="39">SUM(B140:C140)</f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69" si="40">SUM( (E140:K140))</f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8" si="41">SUM(M140:P140)</f>
        <v>1187267.3333333333</v>
      </c>
      <c r="R140" s="14">
        <f t="shared" ref="R140:R148" si="42">SUM(L140,Q140)</f>
        <v>2548631.7000000002</v>
      </c>
      <c r="S140" s="14">
        <f>SUM(D140,R140)</f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39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40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41"/>
        <v>1202048.1666666665</v>
      </c>
      <c r="R141" s="14">
        <f t="shared" si="42"/>
        <v>2611117.5</v>
      </c>
      <c r="S141" s="14">
        <f t="shared" ref="S141:S169" si="43">SUM(D141,R141)</f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39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40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41"/>
        <v>1219143.9000000001</v>
      </c>
      <c r="R142" s="14">
        <f t="shared" si="42"/>
        <v>2640874.7999999998</v>
      </c>
      <c r="S142" s="14">
        <f t="shared" si="43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39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40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41"/>
        <v>1218869.3000000003</v>
      </c>
      <c r="R143" s="14">
        <f t="shared" si="42"/>
        <v>2676100.1333333338</v>
      </c>
      <c r="S143" s="14">
        <f t="shared" si="43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39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40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41"/>
        <v>1249521.6000000003</v>
      </c>
      <c r="R144" s="14">
        <f t="shared" si="42"/>
        <v>2684234.2666666675</v>
      </c>
      <c r="S144" s="14">
        <f t="shared" si="43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39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40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41"/>
        <v>1282575.2000000004</v>
      </c>
      <c r="R145" s="14">
        <f t="shared" si="42"/>
        <v>2773806.1000000006</v>
      </c>
      <c r="S145" s="14">
        <f t="shared" si="43"/>
        <v>2570887.1000000006</v>
      </c>
    </row>
    <row r="146" spans="1:19" s="51" customFormat="1">
      <c r="A146" s="15">
        <v>43677</v>
      </c>
      <c r="B146" s="14">
        <v>304464.2</v>
      </c>
      <c r="C146" s="14">
        <v>-547179.29999999993</v>
      </c>
      <c r="D146" s="14">
        <f t="shared" ref="D146:D169" si="44">SUM(B146:C146)</f>
        <v>-242715.09999999992</v>
      </c>
      <c r="E146" s="14">
        <v>158917.5</v>
      </c>
      <c r="F146" s="14">
        <v>1190797.1999999997</v>
      </c>
      <c r="G146" s="14">
        <v>57551.6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40"/>
        <v>1489118.3999999997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41"/>
        <v>1324621.833333334</v>
      </c>
      <c r="R146" s="14">
        <f t="shared" si="42"/>
        <v>2813740.2333333334</v>
      </c>
      <c r="S146" s="14">
        <f t="shared" si="43"/>
        <v>2571025.1333333333</v>
      </c>
    </row>
    <row r="147" spans="1:19" s="51" customFormat="1">
      <c r="A147" s="15">
        <v>43708</v>
      </c>
      <c r="B147" s="14">
        <v>281923.90000000002</v>
      </c>
      <c r="C147" s="14">
        <v>-533149.49999999988</v>
      </c>
      <c r="D147" s="14">
        <f t="shared" si="44"/>
        <v>-251225.59999999986</v>
      </c>
      <c r="E147" s="14">
        <v>0</v>
      </c>
      <c r="F147" s="14">
        <v>1234004.5000000002</v>
      </c>
      <c r="G147" s="14">
        <v>61786.80000000001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40"/>
        <v>1504195.0000000002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41"/>
        <v>1335695.2666666668</v>
      </c>
      <c r="R147" s="14">
        <f t="shared" si="42"/>
        <v>2839890.2666666671</v>
      </c>
      <c r="S147" s="14">
        <f t="shared" si="43"/>
        <v>2588664.666666667</v>
      </c>
    </row>
    <row r="148" spans="1:19" s="51" customFormat="1">
      <c r="A148" s="15">
        <v>43738</v>
      </c>
      <c r="B148" s="14">
        <v>298513</v>
      </c>
      <c r="C148" s="14">
        <v>-533829</v>
      </c>
      <c r="D148" s="14">
        <f t="shared" si="44"/>
        <v>-235316</v>
      </c>
      <c r="E148" s="14">
        <v>0</v>
      </c>
      <c r="F148" s="14">
        <v>1264668.5</v>
      </c>
      <c r="G148" s="14">
        <v>67957.899999999994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40"/>
        <v>1522071.9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41"/>
        <v>1364424.0999999999</v>
      </c>
      <c r="R148" s="14">
        <f t="shared" si="42"/>
        <v>2886496</v>
      </c>
      <c r="S148" s="14">
        <f t="shared" si="43"/>
        <v>2651180</v>
      </c>
    </row>
    <row r="149" spans="1:19" s="51" customFormat="1">
      <c r="A149" s="15">
        <v>43769</v>
      </c>
      <c r="B149" s="14">
        <v>281183.3</v>
      </c>
      <c r="C149" s="14">
        <v>-525169.79999999993</v>
      </c>
      <c r="D149" s="14">
        <f t="shared" si="44"/>
        <v>-243986.49999999994</v>
      </c>
      <c r="E149" s="14">
        <v>0</v>
      </c>
      <c r="F149" s="14">
        <v>1305643.7</v>
      </c>
      <c r="G149" s="14">
        <v>79188.7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40"/>
        <v>1537500.0999999996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>SUM(M149:P149)</f>
        <v>1380947.7666666664</v>
      </c>
      <c r="R149" s="14">
        <f>SUM(L149,Q149)</f>
        <v>2918447.8666666662</v>
      </c>
      <c r="S149" s="14">
        <f t="shared" si="43"/>
        <v>2674461.3666666662</v>
      </c>
    </row>
    <row r="150" spans="1:19" s="51" customFormat="1">
      <c r="A150" s="15">
        <v>43799</v>
      </c>
      <c r="B150" s="14">
        <v>261502.5</v>
      </c>
      <c r="C150" s="14">
        <v>-523421.4</v>
      </c>
      <c r="D150" s="14">
        <f t="shared" si="44"/>
        <v>-261918.90000000002</v>
      </c>
      <c r="E150" s="14">
        <v>0</v>
      </c>
      <c r="F150" s="14">
        <v>1341805.7</v>
      </c>
      <c r="G150" s="14">
        <v>76955.100000000006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40"/>
        <v>1575430.3000000003</v>
      </c>
      <c r="M150" s="14">
        <v>25926.899999999998</v>
      </c>
      <c r="N150" s="14">
        <v>1372862.6333333331</v>
      </c>
      <c r="O150" s="54">
        <v>496</v>
      </c>
      <c r="P150" s="54">
        <v>12381.5</v>
      </c>
      <c r="Q150" s="14">
        <f>SUM(M150:P150)</f>
        <v>1411667.033333333</v>
      </c>
      <c r="R150" s="14">
        <f>SUM(L150,Q150)</f>
        <v>2987097.333333333</v>
      </c>
      <c r="S150" s="14">
        <f t="shared" si="43"/>
        <v>2725178.4333333331</v>
      </c>
    </row>
    <row r="151" spans="1:19" s="51" customFormat="1">
      <c r="A151" s="15">
        <v>43830</v>
      </c>
      <c r="B151" s="14">
        <v>388061.1999999999</v>
      </c>
      <c r="C151" s="14">
        <v>-603082.79999999981</v>
      </c>
      <c r="D151" s="14">
        <f t="shared" si="44"/>
        <v>-215021.59999999992</v>
      </c>
      <c r="E151" s="14">
        <v>0</v>
      </c>
      <c r="F151" s="14">
        <v>1372987.2000000002</v>
      </c>
      <c r="G151" s="14">
        <v>73541.599999999991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si="40"/>
        <v>1646191.7000000002</v>
      </c>
      <c r="M151" s="14">
        <v>42179.299999999988</v>
      </c>
      <c r="N151" s="14">
        <v>1340910.8000000003</v>
      </c>
      <c r="O151" s="54">
        <v>458.5</v>
      </c>
      <c r="P151" s="54">
        <v>13691.699999999999</v>
      </c>
      <c r="Q151" s="14">
        <f>SUM(M151:P151)</f>
        <v>1397240.3000000003</v>
      </c>
      <c r="R151" s="14">
        <f>SUM(L151,Q151)</f>
        <v>3043432.0000000005</v>
      </c>
      <c r="S151" s="14">
        <f t="shared" si="43"/>
        <v>2828410.4000000004</v>
      </c>
    </row>
    <row r="152" spans="1:19" s="51" customFormat="1">
      <c r="A152" s="15">
        <v>43861</v>
      </c>
      <c r="B152" s="14">
        <v>336863.6</v>
      </c>
      <c r="C152" s="14">
        <v>-662873</v>
      </c>
      <c r="D152" s="14">
        <f t="shared" si="44"/>
        <v>-326009.40000000002</v>
      </c>
      <c r="E152" s="14">
        <v>0</v>
      </c>
      <c r="F152" s="14">
        <v>1411099.7000000002</v>
      </c>
      <c r="G152" s="14">
        <f>18559.5+104859.1+50.8+0</f>
        <v>123469.40000000001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si="40"/>
        <v>1729295.0000000002</v>
      </c>
      <c r="M152" s="14">
        <v>37522.499999999993</v>
      </c>
      <c r="N152" s="14">
        <v>1372347.4666666668</v>
      </c>
      <c r="O152" s="54">
        <v>370.8</v>
      </c>
      <c r="P152" s="54">
        <f>157.9+0+0+13533.8</f>
        <v>13691.699999999999</v>
      </c>
      <c r="Q152" s="14">
        <f t="shared" ref="Q152:Q169" si="45">SUM(M152:P152)</f>
        <v>1423932.4666666668</v>
      </c>
      <c r="R152" s="14">
        <f t="shared" ref="R152:R169" si="46">SUM(L152,Q152)</f>
        <v>3153227.4666666668</v>
      </c>
      <c r="S152" s="14">
        <f t="shared" si="43"/>
        <v>2827218.0666666669</v>
      </c>
    </row>
    <row r="153" spans="1:19" s="51" customFormat="1">
      <c r="A153" s="15">
        <v>43890</v>
      </c>
      <c r="B153" s="14">
        <v>391387.4</v>
      </c>
      <c r="C153" s="14">
        <v>-646726.6</v>
      </c>
      <c r="D153" s="14">
        <f t="shared" si="44"/>
        <v>-255339.19999999995</v>
      </c>
      <c r="E153" s="14">
        <v>0</v>
      </c>
      <c r="F153" s="14">
        <v>1421014.3</v>
      </c>
      <c r="G153" s="14">
        <f>18771.6+105451.8+84.3+0</f>
        <v>124307.7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40"/>
        <v>1729201.2999999998</v>
      </c>
      <c r="M153" s="14">
        <v>34755.199999999997</v>
      </c>
      <c r="N153" s="14">
        <v>1364096.6333333335</v>
      </c>
      <c r="O153" s="54">
        <v>327</v>
      </c>
      <c r="P153" s="54">
        <f>157.9+0+0+13533.8</f>
        <v>13691.699999999999</v>
      </c>
      <c r="Q153" s="14">
        <f t="shared" si="45"/>
        <v>1412870.5333333334</v>
      </c>
      <c r="R153" s="14">
        <f t="shared" si="46"/>
        <v>3142071.833333333</v>
      </c>
      <c r="S153" s="14">
        <f t="shared" si="43"/>
        <v>2886732.6333333328</v>
      </c>
    </row>
    <row r="154" spans="1:19" s="51" customFormat="1">
      <c r="A154" s="15">
        <v>43921</v>
      </c>
      <c r="B154" s="14">
        <v>346877</v>
      </c>
      <c r="C154" s="14">
        <v>-636787.1</v>
      </c>
      <c r="D154" s="14">
        <f t="shared" si="44"/>
        <v>-289910.09999999998</v>
      </c>
      <c r="E154" s="14">
        <v>0</v>
      </c>
      <c r="F154" s="14">
        <v>1416244.1999999997</v>
      </c>
      <c r="G154" s="14">
        <f>20393+106337.4+0+0</f>
        <v>126730.4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40"/>
        <v>1694224.8999999997</v>
      </c>
      <c r="M154" s="14">
        <v>32240.899999999994</v>
      </c>
      <c r="N154" s="14">
        <v>1394187.3</v>
      </c>
      <c r="O154" s="54">
        <v>342.2</v>
      </c>
      <c r="P154" s="54">
        <f>157.9+0+0+14108.7</f>
        <v>14266.6</v>
      </c>
      <c r="Q154" s="14">
        <f t="shared" si="45"/>
        <v>1441037</v>
      </c>
      <c r="R154" s="14">
        <f t="shared" si="46"/>
        <v>3135261.8999999994</v>
      </c>
      <c r="S154" s="14">
        <f t="shared" si="43"/>
        <v>2845351.7999999993</v>
      </c>
    </row>
    <row r="155" spans="1:19" s="51" customFormat="1">
      <c r="A155" s="15">
        <v>43951</v>
      </c>
      <c r="B155" s="14">
        <v>330978.89999999997</v>
      </c>
      <c r="C155" s="14">
        <v>-642025.89999999991</v>
      </c>
      <c r="D155" s="14">
        <f t="shared" si="44"/>
        <v>-311046.99999999994</v>
      </c>
      <c r="E155" s="14">
        <v>0</v>
      </c>
      <c r="F155" s="14">
        <v>1420174.2000000002</v>
      </c>
      <c r="G155" s="14">
        <f>16512.8+107005.7+0+0</f>
        <v>123518.5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40"/>
        <v>1735520.5999999999</v>
      </c>
      <c r="M155" s="14">
        <v>33654.899999999994</v>
      </c>
      <c r="N155" s="14">
        <v>1401197.1</v>
      </c>
      <c r="O155" s="54">
        <v>357.29999999999995</v>
      </c>
      <c r="P155" s="54">
        <f>157.9+0+0+14108.7</f>
        <v>14266.6</v>
      </c>
      <c r="Q155" s="14">
        <f t="shared" si="45"/>
        <v>1449475.9000000001</v>
      </c>
      <c r="R155" s="14">
        <f t="shared" si="46"/>
        <v>3184996.5</v>
      </c>
      <c r="S155" s="14">
        <f t="shared" si="43"/>
        <v>2873949.5</v>
      </c>
    </row>
    <row r="156" spans="1:19" s="51" customFormat="1">
      <c r="A156" s="15">
        <v>43982</v>
      </c>
      <c r="B156" s="14">
        <v>312130.09999999998</v>
      </c>
      <c r="C156" s="14">
        <v>-657577.39999999991</v>
      </c>
      <c r="D156" s="14">
        <f t="shared" si="44"/>
        <v>-345447.29999999993</v>
      </c>
      <c r="E156" s="14">
        <v>0</v>
      </c>
      <c r="F156" s="14">
        <v>1446168.9000000006</v>
      </c>
      <c r="G156" s="14">
        <f>15846.7+100486.7+0+0+1852.2</f>
        <v>118185.59999999999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40"/>
        <v>1719313.9000000006</v>
      </c>
      <c r="M156" s="14">
        <v>30561.799999999996</v>
      </c>
      <c r="N156" s="14">
        <v>1472161.9000000004</v>
      </c>
      <c r="O156" s="54">
        <v>552.5</v>
      </c>
      <c r="P156" s="54">
        <f>157.9+0+0+14108.7</f>
        <v>14266.6</v>
      </c>
      <c r="Q156" s="14">
        <f t="shared" si="45"/>
        <v>1517542.8000000005</v>
      </c>
      <c r="R156" s="14">
        <f t="shared" si="46"/>
        <v>3236856.7000000011</v>
      </c>
      <c r="S156" s="14">
        <f t="shared" si="43"/>
        <v>2891409.4000000013</v>
      </c>
    </row>
    <row r="157" spans="1:19" s="51" customFormat="1">
      <c r="A157" s="15">
        <v>44012</v>
      </c>
      <c r="B157" s="14">
        <v>309848.40000000002</v>
      </c>
      <c r="C157" s="14">
        <v>-647711.69999999995</v>
      </c>
      <c r="D157" s="14">
        <f t="shared" si="44"/>
        <v>-337863.29999999993</v>
      </c>
      <c r="E157" s="14">
        <v>0</v>
      </c>
      <c r="F157" s="14">
        <v>1506361.8</v>
      </c>
      <c r="G157" s="14">
        <f>16243.7+101272.9+0+21.1+5357.5</f>
        <v>122895.2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40"/>
        <v>1826380.2000000002</v>
      </c>
      <c r="M157" s="14">
        <v>29679</v>
      </c>
      <c r="N157" s="14">
        <v>1477533.4000000001</v>
      </c>
      <c r="O157" s="54">
        <v>328.2</v>
      </c>
      <c r="P157" s="54">
        <f t="shared" ref="P157:P162" si="47">157.9+0+0+13851.3</f>
        <v>14009.199999999999</v>
      </c>
      <c r="Q157" s="14">
        <f t="shared" si="45"/>
        <v>1521549.8</v>
      </c>
      <c r="R157" s="14">
        <f t="shared" si="46"/>
        <v>3347930</v>
      </c>
      <c r="S157" s="14">
        <f t="shared" si="43"/>
        <v>3010066.7</v>
      </c>
    </row>
    <row r="158" spans="1:19" s="51" customFormat="1">
      <c r="A158" s="15">
        <v>44043</v>
      </c>
      <c r="B158" s="14">
        <v>340926.4</v>
      </c>
      <c r="C158" s="14">
        <v>-643538.9</v>
      </c>
      <c r="D158" s="14">
        <f t="shared" si="44"/>
        <v>-302612.5</v>
      </c>
      <c r="E158" s="14">
        <v>0</v>
      </c>
      <c r="F158" s="14">
        <v>1537119.7000000002</v>
      </c>
      <c r="G158" s="14">
        <f>21529.8+100450.9+21.1+9362.2</f>
        <v>131364</v>
      </c>
      <c r="H158" s="52">
        <v>13933</v>
      </c>
      <c r="I158" s="52">
        <v>714329.3</v>
      </c>
      <c r="J158" s="53">
        <v>-511155.33333333326</v>
      </c>
      <c r="K158" s="14">
        <v>-87632.4</v>
      </c>
      <c r="L158" s="14">
        <f t="shared" si="40"/>
        <v>1797958.2666666668</v>
      </c>
      <c r="M158" s="14">
        <v>27384.6</v>
      </c>
      <c r="N158" s="14">
        <v>1547031.4333333333</v>
      </c>
      <c r="O158" s="54">
        <v>226.5</v>
      </c>
      <c r="P158" s="54">
        <f t="shared" si="47"/>
        <v>14009.199999999999</v>
      </c>
      <c r="Q158" s="14">
        <f t="shared" si="45"/>
        <v>1588651.7333333334</v>
      </c>
      <c r="R158" s="14">
        <f t="shared" si="46"/>
        <v>3386610</v>
      </c>
      <c r="S158" s="14">
        <f t="shared" si="43"/>
        <v>3083997.5</v>
      </c>
    </row>
    <row r="159" spans="1:19" s="51" customFormat="1">
      <c r="A159" s="15">
        <v>44074</v>
      </c>
      <c r="B159" s="14">
        <v>365381.4</v>
      </c>
      <c r="C159" s="14">
        <v>-628703.79999999981</v>
      </c>
      <c r="D159" s="14">
        <f t="shared" si="44"/>
        <v>-263322.39999999979</v>
      </c>
      <c r="E159" s="14">
        <v>0</v>
      </c>
      <c r="F159" s="14">
        <v>1558569.3</v>
      </c>
      <c r="G159" s="14">
        <f>13546.8+101333.4+21.1+23833.1</f>
        <v>138734.39999999999</v>
      </c>
      <c r="H159" s="52">
        <v>13933</v>
      </c>
      <c r="I159" s="52">
        <v>713689.4</v>
      </c>
      <c r="J159" s="53">
        <v>-559017.56666666677</v>
      </c>
      <c r="K159" s="14">
        <v>-88159.1</v>
      </c>
      <c r="L159" s="14">
        <f t="shared" si="40"/>
        <v>1777749.4333333331</v>
      </c>
      <c r="M159" s="14">
        <v>27780.7</v>
      </c>
      <c r="N159" s="14">
        <v>1586628.1666666667</v>
      </c>
      <c r="O159" s="54">
        <v>305.60000000000002</v>
      </c>
      <c r="P159" s="54">
        <f t="shared" si="47"/>
        <v>14009.199999999999</v>
      </c>
      <c r="Q159" s="14">
        <f t="shared" si="45"/>
        <v>1628723.6666666667</v>
      </c>
      <c r="R159" s="14">
        <f t="shared" si="46"/>
        <v>3406473.0999999996</v>
      </c>
      <c r="S159" s="14">
        <f t="shared" si="43"/>
        <v>3143150.6999999997</v>
      </c>
    </row>
    <row r="160" spans="1:19" s="51" customFormat="1">
      <c r="A160" s="15">
        <v>44104</v>
      </c>
      <c r="B160" s="14">
        <v>371271.69999999995</v>
      </c>
      <c r="C160" s="14">
        <v>-655993.29999999993</v>
      </c>
      <c r="D160" s="14">
        <f t="shared" si="44"/>
        <v>-284721.59999999998</v>
      </c>
      <c r="E160" s="14">
        <v>0</v>
      </c>
      <c r="F160" s="14">
        <v>1576945.4000000001</v>
      </c>
      <c r="G160" s="14">
        <f>19611.4+127767.4+42.1+25822.8+150000</f>
        <v>323243.69999999995</v>
      </c>
      <c r="H160" s="52">
        <v>12539.7</v>
      </c>
      <c r="I160" s="52">
        <v>713120.2</v>
      </c>
      <c r="J160" s="53">
        <v>-491189.80000000005</v>
      </c>
      <c r="K160" s="14">
        <v>-76753.3</v>
      </c>
      <c r="L160" s="14">
        <f t="shared" si="40"/>
        <v>2057905.9000000001</v>
      </c>
      <c r="M160" s="14">
        <v>30729.4</v>
      </c>
      <c r="N160" s="14">
        <v>1561214.0999999999</v>
      </c>
      <c r="O160" s="54">
        <v>311</v>
      </c>
      <c r="P160" s="54">
        <f t="shared" si="47"/>
        <v>14009.199999999999</v>
      </c>
      <c r="Q160" s="14">
        <f t="shared" si="45"/>
        <v>1606263.6999999997</v>
      </c>
      <c r="R160" s="14">
        <f t="shared" si="46"/>
        <v>3664169.5999999996</v>
      </c>
      <c r="S160" s="14">
        <f t="shared" si="43"/>
        <v>3379447.9999999995</v>
      </c>
    </row>
    <row r="161" spans="1:19" s="51" customFormat="1">
      <c r="A161" s="15">
        <v>44135</v>
      </c>
      <c r="B161" s="14">
        <v>372584.3</v>
      </c>
      <c r="C161" s="14">
        <v>-656532.6</v>
      </c>
      <c r="D161" s="14">
        <f t="shared" si="44"/>
        <v>-283948.3</v>
      </c>
      <c r="E161" s="14">
        <v>0</v>
      </c>
      <c r="F161" s="14">
        <v>1599941.3</v>
      </c>
      <c r="G161" s="14">
        <f>16167.2+128263.2+42.1+26917.5+150000+2000</f>
        <v>323390</v>
      </c>
      <c r="H161" s="52">
        <v>11146.4</v>
      </c>
      <c r="I161" s="52">
        <v>711911</v>
      </c>
      <c r="J161" s="53">
        <v>-522050.52063433337</v>
      </c>
      <c r="K161" s="14">
        <v>-89546.6</v>
      </c>
      <c r="L161" s="14">
        <f t="shared" si="40"/>
        <v>2034791.5793656665</v>
      </c>
      <c r="M161" s="14">
        <v>27993.300000000003</v>
      </c>
      <c r="N161" s="14">
        <v>1575524.4000000001</v>
      </c>
      <c r="O161" s="54">
        <v>1236.8</v>
      </c>
      <c r="P161" s="54">
        <f t="shared" si="47"/>
        <v>14009.199999999999</v>
      </c>
      <c r="Q161" s="14">
        <f t="shared" si="45"/>
        <v>1618763.7000000002</v>
      </c>
      <c r="R161" s="14">
        <f t="shared" si="46"/>
        <v>3653555.2793656667</v>
      </c>
      <c r="S161" s="14">
        <f t="shared" si="43"/>
        <v>3369606.9793656669</v>
      </c>
    </row>
    <row r="162" spans="1:19" s="51" customFormat="1">
      <c r="A162" s="15">
        <v>44165</v>
      </c>
      <c r="B162" s="14">
        <v>391549.6</v>
      </c>
      <c r="C162" s="14">
        <v>-677895.89999999991</v>
      </c>
      <c r="D162" s="14">
        <f t="shared" si="44"/>
        <v>-286346.29999999993</v>
      </c>
      <c r="E162" s="14">
        <v>0</v>
      </c>
      <c r="F162" s="14">
        <v>1614017.9000000001</v>
      </c>
      <c r="G162" s="14">
        <f>25646.7+122122.1+42.1+26994.4+150000+2000</f>
        <v>326805.30000000005</v>
      </c>
      <c r="H162" s="52">
        <v>9753.1</v>
      </c>
      <c r="I162" s="52">
        <v>710701.89999999991</v>
      </c>
      <c r="J162" s="53">
        <v>-534458.91095966659</v>
      </c>
      <c r="K162" s="14">
        <v>-78500.700000000012</v>
      </c>
      <c r="L162" s="14">
        <f t="shared" si="40"/>
        <v>2048318.5890403336</v>
      </c>
      <c r="M162" s="14">
        <v>23331.999999999996</v>
      </c>
      <c r="N162" s="14">
        <v>1605563.4000000001</v>
      </c>
      <c r="O162" s="54">
        <v>1196.1000000000001</v>
      </c>
      <c r="P162" s="54">
        <f t="shared" si="47"/>
        <v>14009.199999999999</v>
      </c>
      <c r="Q162" s="14">
        <f t="shared" si="45"/>
        <v>1644100.7000000002</v>
      </c>
      <c r="R162" s="14">
        <f t="shared" si="46"/>
        <v>3692419.2890403336</v>
      </c>
      <c r="S162" s="14">
        <f t="shared" si="43"/>
        <v>3406072.9890403338</v>
      </c>
    </row>
    <row r="163" spans="1:19" s="51" customFormat="1">
      <c r="A163" s="15">
        <v>44196</v>
      </c>
      <c r="B163" s="14">
        <v>455194.7</v>
      </c>
      <c r="C163" s="14">
        <v>-664793.79999999993</v>
      </c>
      <c r="D163" s="14">
        <f t="shared" si="44"/>
        <v>-209599.09999999992</v>
      </c>
      <c r="E163" s="14">
        <v>0</v>
      </c>
      <c r="F163" s="14">
        <f>0+0+0+99484+1447869.6+66814+19642.3+3186.1+14432.8</f>
        <v>1651428.8000000003</v>
      </c>
      <c r="G163" s="14">
        <f>18210.4+123568.6+63.2+27463+150000+2000</f>
        <v>321305.2</v>
      </c>
      <c r="H163" s="52">
        <v>6921.2</v>
      </c>
      <c r="I163" s="52">
        <v>708283.6</v>
      </c>
      <c r="J163" s="53">
        <v>-555063.31651700009</v>
      </c>
      <c r="K163" s="14">
        <v>-72918.899999999994</v>
      </c>
      <c r="L163" s="14">
        <f t="shared" si="40"/>
        <v>2059956.5834830003</v>
      </c>
      <c r="M163" s="14">
        <f>22344.7+101.6</f>
        <v>22446.3</v>
      </c>
      <c r="N163" s="14">
        <v>1640892.2000000002</v>
      </c>
      <c r="O163" s="54">
        <v>1185.1999999999998</v>
      </c>
      <c r="P163" s="54">
        <f>157.9+0+0+13851.3</f>
        <v>14009.199999999999</v>
      </c>
      <c r="Q163" s="14">
        <f t="shared" si="45"/>
        <v>1678532.9000000001</v>
      </c>
      <c r="R163" s="14">
        <f t="shared" si="46"/>
        <v>3738489.4834830007</v>
      </c>
      <c r="S163" s="14">
        <f t="shared" si="43"/>
        <v>3528890.3834830006</v>
      </c>
    </row>
    <row r="164" spans="1:19" s="51" customFormat="1">
      <c r="A164" s="15">
        <v>44227</v>
      </c>
      <c r="B164" s="14">
        <v>463212.70000000007</v>
      </c>
      <c r="C164" s="14">
        <v>-687113.1333333333</v>
      </c>
      <c r="D164" s="14">
        <f t="shared" si="44"/>
        <v>-223900.43333333323</v>
      </c>
      <c r="E164" s="14">
        <v>0</v>
      </c>
      <c r="F164" s="14">
        <f>0+0+0+106324+1457030+66802.1+19642.3+3338.6+14433.4</f>
        <v>1667570.4000000001</v>
      </c>
      <c r="G164" s="14">
        <f>24701.1+121431+63.2+27463+150000+2000</f>
        <v>325658.30000000005</v>
      </c>
      <c r="H164" s="52">
        <v>6921.2</v>
      </c>
      <c r="I164" s="52">
        <v>708283.6</v>
      </c>
      <c r="J164" s="53">
        <v>-568208.17774199997</v>
      </c>
      <c r="K164" s="14">
        <v>-84343.1</v>
      </c>
      <c r="L164" s="14">
        <f t="shared" si="40"/>
        <v>2055882.2222580002</v>
      </c>
      <c r="M164" s="14">
        <f>28189.1+101.6</f>
        <v>28290.699999999997</v>
      </c>
      <c r="N164" s="14">
        <f>1599406.2+83490.5-157.9-0-0-13851.3</f>
        <v>1668887.5</v>
      </c>
      <c r="O164" s="54">
        <v>1063.0999999999999</v>
      </c>
      <c r="P164" s="54">
        <f t="shared" ref="P164:P169" si="48">157.9+0+0+13851.3</f>
        <v>14009.199999999999</v>
      </c>
      <c r="Q164" s="14">
        <f t="shared" si="45"/>
        <v>1712250.5</v>
      </c>
      <c r="R164" s="14">
        <f t="shared" si="46"/>
        <v>3768132.7222580002</v>
      </c>
      <c r="S164" s="14">
        <f t="shared" si="43"/>
        <v>3544232.2889246671</v>
      </c>
    </row>
    <row r="165" spans="1:19" s="51" customFormat="1">
      <c r="A165" s="15">
        <v>44255</v>
      </c>
      <c r="B165" s="14">
        <v>484639.5</v>
      </c>
      <c r="C165" s="14">
        <v>-678657.2666666666</v>
      </c>
      <c r="D165" s="14">
        <f t="shared" si="44"/>
        <v>-194017.7666666666</v>
      </c>
      <c r="E165" s="14">
        <v>0</v>
      </c>
      <c r="F165" s="14">
        <f>0+0+2043+125624+1451471.2+73895.9+19642.3+0+14320.3</f>
        <v>1686996.7</v>
      </c>
      <c r="G165" s="14">
        <f>23304.2+149042.3+0+63.2+27463+150000+2000+4668.9</f>
        <v>356541.60000000003</v>
      </c>
      <c r="H165" s="52">
        <v>5527.9</v>
      </c>
      <c r="I165" s="52">
        <v>704458.1</v>
      </c>
      <c r="J165" s="53">
        <v>-624485.90289300005</v>
      </c>
      <c r="K165" s="14">
        <v>-74182.100000000006</v>
      </c>
      <c r="L165" s="14">
        <f t="shared" si="40"/>
        <v>2054856.2971069994</v>
      </c>
      <c r="M165" s="14">
        <f>26251.3+101.6</f>
        <v>26352.899999999998</v>
      </c>
      <c r="N165" s="14">
        <f>1639607.1+79099-157.9-0-0-13851.3</f>
        <v>1704696.9000000001</v>
      </c>
      <c r="O165" s="54">
        <v>1036.3</v>
      </c>
      <c r="P165" s="54">
        <f t="shared" si="48"/>
        <v>14009.199999999999</v>
      </c>
      <c r="Q165" s="14">
        <f t="shared" si="45"/>
        <v>1746095.3</v>
      </c>
      <c r="R165" s="14">
        <f t="shared" si="46"/>
        <v>3800951.5971069997</v>
      </c>
      <c r="S165" s="14">
        <f t="shared" si="43"/>
        <v>3606933.8304403331</v>
      </c>
    </row>
    <row r="166" spans="1:19" s="51" customFormat="1">
      <c r="A166" s="15">
        <v>44286</v>
      </c>
      <c r="B166" s="14">
        <v>431468.70000000007</v>
      </c>
      <c r="C166" s="14">
        <v>-663922.09999999986</v>
      </c>
      <c r="D166" s="14">
        <f t="shared" si="44"/>
        <v>-232453.39999999979</v>
      </c>
      <c r="E166" s="14">
        <v>0</v>
      </c>
      <c r="F166" s="14">
        <f>0+0+126464+1443480.7+78836.6+19642.3+2063.1+14299.2</f>
        <v>1684785.9000000001</v>
      </c>
      <c r="G166" s="14">
        <f>28954.5+145910.2+63.2+0+150000+2000+4668.9</f>
        <v>331596.80000000005</v>
      </c>
      <c r="H166" s="52">
        <v>4134.6000000000004</v>
      </c>
      <c r="I166" s="52">
        <v>703262.9</v>
      </c>
      <c r="J166" s="53">
        <v>-577927</v>
      </c>
      <c r="K166" s="14">
        <v>-77855.7</v>
      </c>
      <c r="L166" s="14">
        <f t="shared" si="40"/>
        <v>2067997.5000000002</v>
      </c>
      <c r="M166" s="14">
        <f>24587.6+101.6</f>
        <v>24689.199999999997</v>
      </c>
      <c r="N166" s="14">
        <f>1697855.8+76918.4-157.9-0-0-13851.3</f>
        <v>1760765</v>
      </c>
      <c r="O166" s="54">
        <v>734.60000000000014</v>
      </c>
      <c r="P166" s="54">
        <f t="shared" si="48"/>
        <v>14009.199999999999</v>
      </c>
      <c r="Q166" s="14">
        <f t="shared" si="45"/>
        <v>1800198</v>
      </c>
      <c r="R166" s="14">
        <f t="shared" si="46"/>
        <v>3868195.5</v>
      </c>
      <c r="S166" s="14">
        <f t="shared" si="43"/>
        <v>3635742.1</v>
      </c>
    </row>
    <row r="167" spans="1:19" s="51" customFormat="1">
      <c r="A167" s="15" t="s">
        <v>70</v>
      </c>
      <c r="B167" s="14">
        <v>400283.1</v>
      </c>
      <c r="C167" s="14">
        <v>-653474.39999999991</v>
      </c>
      <c r="D167" s="14">
        <f t="shared" si="44"/>
        <v>-253191.29999999993</v>
      </c>
      <c r="E167" s="14">
        <v>0</v>
      </c>
      <c r="F167" s="14">
        <f>0+0+142324+1434526.7+89310.1+19642.3+2584.4+14431.2</f>
        <v>1702818.7</v>
      </c>
      <c r="G167" s="14">
        <f>19870.3+146356.9+0+0+0+150000+4032.5+4668.9+29176.1</f>
        <v>354104.69999999995</v>
      </c>
      <c r="H167" s="52">
        <v>2741.3</v>
      </c>
      <c r="I167" s="52">
        <v>702954.8</v>
      </c>
      <c r="J167" s="53">
        <v>-612225.19999999995</v>
      </c>
      <c r="K167" s="14">
        <v>-103216.1</v>
      </c>
      <c r="L167" s="14">
        <f t="shared" si="40"/>
        <v>2047178.1999999997</v>
      </c>
      <c r="M167" s="14">
        <f>23300.7+101.6</f>
        <v>23402.3</v>
      </c>
      <c r="N167" s="14">
        <f>1719273+79837.6-157.9-0-0-13851.3</f>
        <v>1785101.4000000001</v>
      </c>
      <c r="O167" s="54">
        <v>596.59999999999991</v>
      </c>
      <c r="P167" s="54">
        <f t="shared" si="48"/>
        <v>14009.199999999999</v>
      </c>
      <c r="Q167" s="14">
        <f t="shared" si="45"/>
        <v>1823109.5000000002</v>
      </c>
      <c r="R167" s="14">
        <f t="shared" si="46"/>
        <v>3870287.7</v>
      </c>
      <c r="S167" s="14">
        <f t="shared" si="43"/>
        <v>3617096.4000000004</v>
      </c>
    </row>
    <row r="168" spans="1:19" s="51" customFormat="1">
      <c r="A168" s="15" t="s">
        <v>71</v>
      </c>
      <c r="B168" s="14">
        <v>374329.3</v>
      </c>
      <c r="C168" s="14">
        <v>-650885.29999999981</v>
      </c>
      <c r="D168" s="14">
        <f t="shared" si="44"/>
        <v>-276555.99999999983</v>
      </c>
      <c r="E168" s="14">
        <v>0</v>
      </c>
      <c r="F168" s="14">
        <f>0+0+147093.7+1433482.8+111190.4+19642.3+2607.2+14567.5</f>
        <v>1728583.9</v>
      </c>
      <c r="G168" s="14">
        <f>21693+132483.6+0+0+0+150000+6043.1+4668.9+29176.1+837.8</f>
        <v>344902.49999999994</v>
      </c>
      <c r="H168" s="52">
        <v>0</v>
      </c>
      <c r="I168" s="52">
        <v>702546.1</v>
      </c>
      <c r="J168" s="53">
        <v>-609468.39999999991</v>
      </c>
      <c r="K168" s="14">
        <v>-92826.299999999988</v>
      </c>
      <c r="L168" s="14">
        <f t="shared" si="40"/>
        <v>2073737.8</v>
      </c>
      <c r="M168" s="14">
        <f>24803.1+101.6</f>
        <v>24904.699999999997</v>
      </c>
      <c r="N168" s="14">
        <f>1786853.7+78440.8-157.9-0-0-13851.3</f>
        <v>1851285.3</v>
      </c>
      <c r="O168" s="54">
        <v>5596.7000000000007</v>
      </c>
      <c r="P168" s="54">
        <f t="shared" si="48"/>
        <v>14009.199999999999</v>
      </c>
      <c r="Q168" s="14">
        <f t="shared" si="45"/>
        <v>1895795.9</v>
      </c>
      <c r="R168" s="14">
        <f t="shared" si="46"/>
        <v>3969533.7</v>
      </c>
      <c r="S168" s="14">
        <f t="shared" si="43"/>
        <v>3692977.7</v>
      </c>
    </row>
    <row r="169" spans="1:19" s="51" customFormat="1">
      <c r="A169" s="15" t="s">
        <v>72</v>
      </c>
      <c r="B169" s="14">
        <v>375125.00000000006</v>
      </c>
      <c r="C169" s="14">
        <v>-684692</v>
      </c>
      <c r="D169" s="14">
        <f t="shared" si="44"/>
        <v>-309566.99999999994</v>
      </c>
      <c r="E169" s="14">
        <v>57076.7</v>
      </c>
      <c r="F169" s="14">
        <f>0+0+148924+1476613.7+93689.9+19642.3+2629.2+14698.8</f>
        <v>1756197.9</v>
      </c>
      <c r="G169" s="14">
        <f>21693+129894.2+0+28.2+0+150000+11960.4+4668.9+29176.1+3728.9</f>
        <v>351149.70000000007</v>
      </c>
      <c r="H169" s="52">
        <v>0</v>
      </c>
      <c r="I169" s="52">
        <v>701028.8</v>
      </c>
      <c r="J169" s="53">
        <v>-634119.80000000005</v>
      </c>
      <c r="K169" s="14">
        <v>-82102.600000000006</v>
      </c>
      <c r="L169" s="14">
        <f t="shared" si="40"/>
        <v>2149230.6999999997</v>
      </c>
      <c r="M169" s="14">
        <f>26128+101.6</f>
        <v>26229.599999999999</v>
      </c>
      <c r="N169" s="14">
        <f>1896891.7+77479.4-157.9-0-0-13851.3</f>
        <v>1960361.9</v>
      </c>
      <c r="O169" s="54">
        <v>5539.4</v>
      </c>
      <c r="P169" s="54">
        <f t="shared" si="48"/>
        <v>14009.199999999999</v>
      </c>
      <c r="Q169" s="14">
        <f t="shared" si="45"/>
        <v>2006140.0999999999</v>
      </c>
      <c r="R169" s="14">
        <f t="shared" si="46"/>
        <v>4155370.8</v>
      </c>
      <c r="S169" s="14">
        <f t="shared" si="43"/>
        <v>3845803.8</v>
      </c>
    </row>
    <row r="170" spans="1:19" s="51" customFormat="1" ht="12.75" customHeight="1">
      <c r="A170" s="64" t="s">
        <v>5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6"/>
    </row>
    <row r="171" spans="1:19" s="51" customFormat="1" ht="12.75" customHeight="1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9"/>
    </row>
    <row r="172" spans="1:19">
      <c r="A172" s="3"/>
      <c r="B172" s="5"/>
      <c r="C172" s="5"/>
      <c r="D172" s="5"/>
      <c r="E172" s="5"/>
      <c r="F172" s="5"/>
      <c r="G172" s="5"/>
      <c r="H172" s="5"/>
      <c r="I172" s="5"/>
      <c r="J172" s="5"/>
      <c r="K172" s="6"/>
      <c r="L172" s="5"/>
      <c r="M172" s="5" t="s">
        <v>6</v>
      </c>
      <c r="N172" s="5"/>
      <c r="O172" s="9"/>
      <c r="P172" s="9"/>
      <c r="Q172" s="5"/>
      <c r="R172" s="5"/>
      <c r="S172" s="5"/>
    </row>
    <row r="173" spans="1:19">
      <c r="A173" s="3"/>
      <c r="B173" s="7"/>
      <c r="C173" s="7"/>
      <c r="D173" s="7"/>
      <c r="E173" s="3"/>
      <c r="F173" s="7"/>
      <c r="G173" s="7"/>
      <c r="H173" s="7"/>
      <c r="I173" s="7"/>
      <c r="J173" s="7"/>
      <c r="K173" s="3"/>
      <c r="L173" s="3"/>
      <c r="M173" s="7"/>
      <c r="N173" s="3"/>
      <c r="O173" s="10"/>
      <c r="P173" s="10"/>
      <c r="Q173" s="7"/>
      <c r="R173" s="3"/>
      <c r="S173" s="3"/>
    </row>
  </sheetData>
  <mergeCells count="9">
    <mergeCell ref="A170:S171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4"/>
  <sheetViews>
    <sheetView workbookViewId="0">
      <pane xSplit="1" ySplit="7" topLeftCell="Q53" activePane="bottomRight" state="frozen"/>
      <selection pane="topRight" activeCell="B1" sqref="B1"/>
      <selection pane="bottomLeft" activeCell="A8" sqref="A8"/>
      <selection pane="bottomRight" activeCell="A59" sqref="A59:XFD59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3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3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61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>
      <c r="A54" s="15">
        <v>43738</v>
      </c>
      <c r="B54" s="14">
        <v>298513</v>
      </c>
      <c r="C54" s="14">
        <v>-533829</v>
      </c>
      <c r="D54" s="14">
        <f t="shared" ref="D54:D61" si="23">SUM(B54:C54)</f>
        <v>-235316</v>
      </c>
      <c r="E54" s="14">
        <v>0</v>
      </c>
      <c r="F54" s="14">
        <v>1264668.5</v>
      </c>
      <c r="G54" s="14">
        <v>67957.899999999994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ref="L54:L61" si="24">SUM( (E54:K54))</f>
        <v>1522071.9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2886496</v>
      </c>
      <c r="S54" s="14">
        <f t="shared" si="22"/>
        <v>2651180</v>
      </c>
    </row>
    <row r="55" spans="1:19" s="51" customFormat="1">
      <c r="A55" s="15">
        <v>43830</v>
      </c>
      <c r="B55" s="14">
        <v>388061.1999999999</v>
      </c>
      <c r="C55" s="14">
        <v>-603082.79999999981</v>
      </c>
      <c r="D55" s="14">
        <f t="shared" si="23"/>
        <v>-215021.59999999992</v>
      </c>
      <c r="E55" s="14">
        <v>0</v>
      </c>
      <c r="F55" s="14">
        <v>1372987.2000000002</v>
      </c>
      <c r="G55" s="14">
        <v>73541.599999999991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si="24"/>
        <v>1646191.7000000002</v>
      </c>
      <c r="M55" s="14">
        <v>42179.299999999988</v>
      </c>
      <c r="N55" s="14">
        <v>1340910.8000000003</v>
      </c>
      <c r="O55" s="54">
        <v>458.5</v>
      </c>
      <c r="P55" s="54">
        <v>13691.699999999999</v>
      </c>
      <c r="Q55" s="14">
        <f>SUM(M55:P55)</f>
        <v>1397240.3000000003</v>
      </c>
      <c r="R55" s="14">
        <f>SUM(L55,Q55)</f>
        <v>3043432.0000000005</v>
      </c>
      <c r="S55" s="14">
        <f t="shared" si="22"/>
        <v>2828410.4000000004</v>
      </c>
    </row>
    <row r="56" spans="1:19" s="51" customFormat="1">
      <c r="A56" s="15">
        <v>43921</v>
      </c>
      <c r="B56" s="14">
        <v>346877</v>
      </c>
      <c r="C56" s="14">
        <v>-636787.1</v>
      </c>
      <c r="D56" s="14">
        <f t="shared" si="23"/>
        <v>-289910.09999999998</v>
      </c>
      <c r="E56" s="14">
        <v>0</v>
      </c>
      <c r="F56" s="14">
        <v>1416244.1999999997</v>
      </c>
      <c r="G56" s="14">
        <f>20393+106337.4+0+0</f>
        <v>126730.4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si="24"/>
        <v>1694224.8999999997</v>
      </c>
      <c r="M56" s="14">
        <v>32240.899999999994</v>
      </c>
      <c r="N56" s="14">
        <v>1394187.3</v>
      </c>
      <c r="O56" s="54">
        <v>342.2</v>
      </c>
      <c r="P56" s="54">
        <f>157.9+0+0+14108.7</f>
        <v>14266.6</v>
      </c>
      <c r="Q56" s="14">
        <f t="shared" ref="Q56:Q61" si="25">SUM(M56:P56)</f>
        <v>1441037</v>
      </c>
      <c r="R56" s="14">
        <f t="shared" ref="R56:R61" si="26">SUM(L56,Q56)</f>
        <v>3135261.8999999994</v>
      </c>
      <c r="S56" s="14">
        <f t="shared" si="22"/>
        <v>2845351.7999999993</v>
      </c>
    </row>
    <row r="57" spans="1:19" s="51" customFormat="1">
      <c r="A57" s="15">
        <v>44012</v>
      </c>
      <c r="B57" s="14">
        <v>309848.40000000002</v>
      </c>
      <c r="C57" s="14">
        <v>-647711.69999999995</v>
      </c>
      <c r="D57" s="14">
        <f t="shared" si="23"/>
        <v>-337863.29999999993</v>
      </c>
      <c r="E57" s="14">
        <v>0</v>
      </c>
      <c r="F57" s="14">
        <v>1506361.8</v>
      </c>
      <c r="G57" s="14">
        <f>16243.7+101272.9+0+21.1+5357.5</f>
        <v>122895.2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1826380.2000000002</v>
      </c>
      <c r="M57" s="14">
        <v>29679</v>
      </c>
      <c r="N57" s="14">
        <v>1477533.4000000001</v>
      </c>
      <c r="O57" s="54">
        <v>328.2</v>
      </c>
      <c r="P57" s="54">
        <f t="shared" ref="P57:P58" si="27">157.9+0+0+13851.3</f>
        <v>14009.199999999999</v>
      </c>
      <c r="Q57" s="14">
        <f t="shared" si="25"/>
        <v>1521549.8</v>
      </c>
      <c r="R57" s="14">
        <f t="shared" si="26"/>
        <v>3347930</v>
      </c>
      <c r="S57" s="14">
        <f t="shared" si="22"/>
        <v>3010066.7</v>
      </c>
    </row>
    <row r="58" spans="1:19" s="51" customFormat="1">
      <c r="A58" s="15">
        <v>44104</v>
      </c>
      <c r="B58" s="14">
        <v>371271.69999999995</v>
      </c>
      <c r="C58" s="14">
        <v>-655993.29999999993</v>
      </c>
      <c r="D58" s="14">
        <f t="shared" si="23"/>
        <v>-284721.59999999998</v>
      </c>
      <c r="E58" s="14">
        <v>0</v>
      </c>
      <c r="F58" s="14">
        <v>1576945.4000000001</v>
      </c>
      <c r="G58" s="14">
        <f>19611.4+127767.4+42.1+25822.8+150000</f>
        <v>323243.69999999995</v>
      </c>
      <c r="H58" s="52">
        <v>12539.7</v>
      </c>
      <c r="I58" s="52">
        <v>713120.2</v>
      </c>
      <c r="J58" s="53">
        <v>-491189.80000000005</v>
      </c>
      <c r="K58" s="14">
        <v>-76753.3</v>
      </c>
      <c r="L58" s="14">
        <f t="shared" si="24"/>
        <v>2057905.9000000001</v>
      </c>
      <c r="M58" s="14">
        <v>30729.4</v>
      </c>
      <c r="N58" s="14">
        <v>1561214.0999999999</v>
      </c>
      <c r="O58" s="54">
        <v>311</v>
      </c>
      <c r="P58" s="54">
        <f t="shared" si="27"/>
        <v>14009.199999999999</v>
      </c>
      <c r="Q58" s="14">
        <f t="shared" si="25"/>
        <v>1606263.6999999997</v>
      </c>
      <c r="R58" s="14">
        <f t="shared" si="26"/>
        <v>3664169.5999999996</v>
      </c>
      <c r="S58" s="14">
        <f t="shared" si="22"/>
        <v>3379447.9999999995</v>
      </c>
    </row>
    <row r="59" spans="1:19" s="51" customFormat="1">
      <c r="A59" s="15">
        <v>44196</v>
      </c>
      <c r="B59" s="14">
        <v>455194.7</v>
      </c>
      <c r="C59" s="14">
        <v>-664793.79999999993</v>
      </c>
      <c r="D59" s="14">
        <f t="shared" si="23"/>
        <v>-209599.09999999992</v>
      </c>
      <c r="E59" s="14">
        <v>0</v>
      </c>
      <c r="F59" s="14">
        <f>0+0+0+99484+1447869.6+66814+19642.3+3186.1+14432.8</f>
        <v>1651428.8000000003</v>
      </c>
      <c r="G59" s="14">
        <f>18210.4+123568.6+63.2+27463+150000+2000</f>
        <v>321305.2</v>
      </c>
      <c r="H59" s="52">
        <v>6921.2</v>
      </c>
      <c r="I59" s="52">
        <v>708283.6</v>
      </c>
      <c r="J59" s="53">
        <v>-555063.31651700009</v>
      </c>
      <c r="K59" s="14">
        <v>-72918.899999999994</v>
      </c>
      <c r="L59" s="14">
        <f t="shared" si="24"/>
        <v>2059956.5834830003</v>
      </c>
      <c r="M59" s="14">
        <f>22344.7+101.6</f>
        <v>22446.3</v>
      </c>
      <c r="N59" s="14">
        <v>1640892.2000000002</v>
      </c>
      <c r="O59" s="54">
        <v>1185.1999999999998</v>
      </c>
      <c r="P59" s="54">
        <f>157.9+0+0+13851.3</f>
        <v>14009.199999999999</v>
      </c>
      <c r="Q59" s="14">
        <f t="shared" si="25"/>
        <v>1678532.9000000001</v>
      </c>
      <c r="R59" s="14">
        <f t="shared" si="26"/>
        <v>3738489.4834830007</v>
      </c>
      <c r="S59" s="14">
        <f t="shared" si="22"/>
        <v>3528890.3834830006</v>
      </c>
    </row>
    <row r="60" spans="1:19" s="51" customFormat="1">
      <c r="A60" s="15">
        <v>44286</v>
      </c>
      <c r="B60" s="14">
        <v>431468.70000000007</v>
      </c>
      <c r="C60" s="14">
        <v>-663922.09999999986</v>
      </c>
      <c r="D60" s="14">
        <f t="shared" si="23"/>
        <v>-232453.39999999979</v>
      </c>
      <c r="E60" s="14">
        <v>0</v>
      </c>
      <c r="F60" s="14">
        <f>0+0+126464+1443480.7+78836.6+19642.3+2063.1+14299.2</f>
        <v>1684785.9000000001</v>
      </c>
      <c r="G60" s="14">
        <f>28954.5+145910.2+63.2+0+150000+2000+4668.9</f>
        <v>331596.80000000005</v>
      </c>
      <c r="H60" s="52">
        <v>4134.6000000000004</v>
      </c>
      <c r="I60" s="52">
        <v>703262.9</v>
      </c>
      <c r="J60" s="53">
        <v>-577927</v>
      </c>
      <c r="K60" s="14">
        <v>-77855.7</v>
      </c>
      <c r="L60" s="14">
        <f t="shared" si="24"/>
        <v>2067997.5000000002</v>
      </c>
      <c r="M60" s="14">
        <f>24587.6+101.6</f>
        <v>24689.199999999997</v>
      </c>
      <c r="N60" s="14">
        <f>1697855.8+76918.4-157.9-0-0-13851.3</f>
        <v>1760765</v>
      </c>
      <c r="O60" s="54">
        <v>734.60000000000014</v>
      </c>
      <c r="P60" s="54">
        <f t="shared" ref="P60:P61" si="28">157.9+0+0+13851.3</f>
        <v>14009.199999999999</v>
      </c>
      <c r="Q60" s="14">
        <f t="shared" si="25"/>
        <v>1800198</v>
      </c>
      <c r="R60" s="14">
        <f t="shared" si="26"/>
        <v>3868195.5</v>
      </c>
      <c r="S60" s="14">
        <f t="shared" si="22"/>
        <v>3635742.1</v>
      </c>
    </row>
    <row r="61" spans="1:19" s="51" customFormat="1" ht="18">
      <c r="A61" s="15" t="s">
        <v>72</v>
      </c>
      <c r="B61" s="14">
        <v>375125.00000000006</v>
      </c>
      <c r="C61" s="14">
        <v>-684692</v>
      </c>
      <c r="D61" s="14">
        <f t="shared" si="23"/>
        <v>-309566.99999999994</v>
      </c>
      <c r="E61" s="14">
        <v>57076.7</v>
      </c>
      <c r="F61" s="14">
        <f>0+0+148924+1476613.7+93689.9+19642.3+2629.2+14698.8</f>
        <v>1756197.9</v>
      </c>
      <c r="G61" s="14">
        <f>21693+129894.2+0+28.2+0+150000+11960.4+4668.9+29176.1+3728.9</f>
        <v>351149.70000000007</v>
      </c>
      <c r="H61" s="52">
        <v>0</v>
      </c>
      <c r="I61" s="52">
        <v>701028.8</v>
      </c>
      <c r="J61" s="53">
        <v>-634119.80000000005</v>
      </c>
      <c r="K61" s="14">
        <v>-82102.600000000006</v>
      </c>
      <c r="L61" s="14">
        <f t="shared" si="24"/>
        <v>2149230.6999999997</v>
      </c>
      <c r="M61" s="14">
        <f>26128+101.6</f>
        <v>26229.599999999999</v>
      </c>
      <c r="N61" s="14">
        <f>1896891.7+77479.4-157.9-0-0-13851.3</f>
        <v>1960361.9</v>
      </c>
      <c r="O61" s="54">
        <v>5539.4</v>
      </c>
      <c r="P61" s="54">
        <f t="shared" si="28"/>
        <v>14009.199999999999</v>
      </c>
      <c r="Q61" s="14">
        <f t="shared" si="25"/>
        <v>2006140.0999999999</v>
      </c>
      <c r="R61" s="14">
        <f t="shared" si="26"/>
        <v>4155370.8</v>
      </c>
      <c r="S61" s="14">
        <f t="shared" si="22"/>
        <v>3845803.8</v>
      </c>
    </row>
    <row r="62" spans="1:19" s="51" customFormat="1">
      <c r="A62" s="64" t="s">
        <v>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6"/>
    </row>
    <row r="63" spans="1:19" s="51" customFormat="1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9"/>
    </row>
    <row r="64" spans="1:19" s="17" customFormat="1">
      <c r="A64" s="3"/>
      <c r="B64" s="5"/>
      <c r="C64" s="5"/>
      <c r="D64" s="5"/>
      <c r="E64" s="5"/>
      <c r="F64" s="5"/>
      <c r="G64" s="5"/>
      <c r="H64" s="5"/>
      <c r="I64" s="5"/>
      <c r="J64" s="5"/>
      <c r="K64" s="6"/>
      <c r="L64" s="5"/>
      <c r="M64" s="5" t="s">
        <v>6</v>
      </c>
      <c r="N64" s="5"/>
      <c r="O64" s="9"/>
      <c r="P64" s="9"/>
      <c r="Q64" s="5"/>
      <c r="R64" s="5"/>
      <c r="S64" s="5"/>
    </row>
  </sheetData>
  <mergeCells count="9">
    <mergeCell ref="A62:S63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3"/>
  <sheetViews>
    <sheetView workbookViewId="0">
      <pane xSplit="1" ySplit="7" topLeftCell="Q14" activePane="bottomRight" state="frozen"/>
      <selection pane="topRight" activeCell="B1" sqref="B1"/>
      <selection pane="bottomLeft" activeCell="A8" sqref="A8"/>
      <selection pane="bottomRight" activeCell="A23" sqref="A23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>
      <c r="A19" s="56">
        <v>2019</v>
      </c>
      <c r="B19" s="14">
        <v>388061.1999999999</v>
      </c>
      <c r="C19" s="14">
        <v>-603082.79999999981</v>
      </c>
      <c r="D19" s="14">
        <f t="shared" ref="D19:D20" si="10">SUM(B19:C19)</f>
        <v>-215021.59999999992</v>
      </c>
      <c r="E19" s="14">
        <v>0</v>
      </c>
      <c r="F19" s="14">
        <v>1372987.2000000002</v>
      </c>
      <c r="G19" s="14">
        <v>73541.599999999991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:L20" si="11">SUM( (E19:K19))</f>
        <v>1646191.7000000002</v>
      </c>
      <c r="M19" s="14">
        <v>42179.299999999988</v>
      </c>
      <c r="N19" s="14">
        <v>1340910.8000000003</v>
      </c>
      <c r="O19" s="54">
        <v>458.5</v>
      </c>
      <c r="P19" s="54">
        <v>13691.699999999999</v>
      </c>
      <c r="Q19" s="14">
        <f>SUM(M19:P19)</f>
        <v>1397240.3000000003</v>
      </c>
      <c r="R19" s="14">
        <f>SUM(L19,Q19)</f>
        <v>3043432.0000000005</v>
      </c>
      <c r="S19" s="14">
        <f t="shared" ref="S19:S20" si="12">SUM(D19,R19)</f>
        <v>2828410.4000000004</v>
      </c>
    </row>
    <row r="20" spans="1:19" s="51" customFormat="1">
      <c r="A20" s="56">
        <v>2020</v>
      </c>
      <c r="B20" s="14">
        <v>455194.7</v>
      </c>
      <c r="C20" s="14">
        <v>-664793.79999999993</v>
      </c>
      <c r="D20" s="14">
        <f t="shared" si="10"/>
        <v>-209599.09999999992</v>
      </c>
      <c r="E20" s="14">
        <v>0</v>
      </c>
      <c r="F20" s="14">
        <f>0+0+0+99484+1447869.6+66814+19642.3+3186.1+14432.8</f>
        <v>1651428.8000000003</v>
      </c>
      <c r="G20" s="14">
        <f>18210.4+123568.6+63.2+27463+150000+2000</f>
        <v>321305.2</v>
      </c>
      <c r="H20" s="52">
        <v>6921.2</v>
      </c>
      <c r="I20" s="52">
        <v>708283.6</v>
      </c>
      <c r="J20" s="53">
        <v>-555063.31651700009</v>
      </c>
      <c r="K20" s="14">
        <v>-72918.899999999994</v>
      </c>
      <c r="L20" s="14">
        <f t="shared" si="11"/>
        <v>2059956.5834830003</v>
      </c>
      <c r="M20" s="14">
        <f>22344.7+101.6</f>
        <v>22446.3</v>
      </c>
      <c r="N20" s="14">
        <v>1640892.2000000002</v>
      </c>
      <c r="O20" s="54">
        <v>1185.1999999999998</v>
      </c>
      <c r="P20" s="54">
        <f>157.9+0+0+13851.3</f>
        <v>14009.199999999999</v>
      </c>
      <c r="Q20" s="14">
        <f t="shared" ref="Q20" si="13">SUM(M20:P20)</f>
        <v>1678532.9000000001</v>
      </c>
      <c r="R20" s="14">
        <f t="shared" ref="R20" si="14">SUM(L20,Q20)</f>
        <v>3738489.4834830007</v>
      </c>
      <c r="S20" s="14">
        <f t="shared" si="12"/>
        <v>3528890.3834830006</v>
      </c>
    </row>
    <row r="21" spans="1:19" s="51" customFormat="1">
      <c r="A21" s="64" t="s">
        <v>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</row>
    <row r="22" spans="1:19" s="51" customForma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</row>
    <row r="23" spans="1:19" s="17" customFormat="1"/>
  </sheetData>
  <mergeCells count="9">
    <mergeCell ref="A21:S22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2021-09-16T08:48:17Z</dcterms:modified>
</cp:coreProperties>
</file>