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A" sheetId="1" r:id="rId1"/>
  </sheets>
  <externalReferences>
    <externalReference r:id="rId4"/>
  </externalReferences>
  <definedNames>
    <definedName name="_xlnm.Print_Area" localSheetId="0">'A'!$A$2:$O$273</definedName>
    <definedName name="Zone_impres_MI">'A'!$A$1:$A$79</definedName>
  </definedNames>
  <calcPr fullCalcOnLoad="1"/>
</workbook>
</file>

<file path=xl/sharedStrings.xml><?xml version="1.0" encoding="utf-8"?>
<sst xmlns="http://schemas.openxmlformats.org/spreadsheetml/2006/main" count="281" uniqueCount="102">
  <si>
    <t xml:space="preserve">         Total</t>
  </si>
  <si>
    <t xml:space="preserve">   B.R.B.</t>
  </si>
  <si>
    <t xml:space="preserve">      Banques</t>
  </si>
  <si>
    <t xml:space="preserve">     C.C.P.</t>
  </si>
  <si>
    <t>Etablissements</t>
  </si>
  <si>
    <t>financiers</t>
  </si>
  <si>
    <t>-</t>
  </si>
  <si>
    <t>Période</t>
  </si>
  <si>
    <t xml:space="preserve">2002 </t>
  </si>
  <si>
    <t xml:space="preserve">2003 </t>
  </si>
  <si>
    <t>Prêts nets</t>
  </si>
  <si>
    <t>Total</t>
  </si>
  <si>
    <t>EXTERIEUR</t>
  </si>
  <si>
    <t>FINANCEMENT</t>
  </si>
  <si>
    <t>NET</t>
  </si>
  <si>
    <t xml:space="preserve">                             FINANCEMENT INTERIEUR</t>
  </si>
  <si>
    <t xml:space="preserve">                                 Autres</t>
  </si>
  <si>
    <t xml:space="preserve">        III.3.2</t>
  </si>
  <si>
    <t xml:space="preserve">        III.3</t>
  </si>
  <si>
    <t xml:space="preserve">2004 </t>
  </si>
  <si>
    <t>2005 Janvier</t>
  </si>
  <si>
    <t xml:space="preserve">2005 </t>
  </si>
  <si>
    <t>Variation</t>
  </si>
  <si>
    <t>d'arriérés</t>
  </si>
  <si>
    <t xml:space="preserve">2006 Janvier </t>
  </si>
  <si>
    <t>commerciales</t>
  </si>
  <si>
    <t xml:space="preserve">           Septembre</t>
  </si>
  <si>
    <t>(en millions de BIF)</t>
  </si>
  <si>
    <t>Secteur bancaire</t>
  </si>
  <si>
    <t>Secteur non bancaire</t>
  </si>
  <si>
    <t>2006</t>
  </si>
  <si>
    <t>du Trésor</t>
  </si>
  <si>
    <t xml:space="preserve">2007  Janvier </t>
  </si>
  <si>
    <t>Erreurs</t>
  </si>
  <si>
    <t>et omissions</t>
  </si>
  <si>
    <t xml:space="preserve">     en dépenses</t>
  </si>
  <si>
    <t xml:space="preserve">2007 </t>
  </si>
  <si>
    <t xml:space="preserve">2008  Janvier </t>
  </si>
  <si>
    <t>bons</t>
  </si>
  <si>
    <t xml:space="preserve">  et obligations</t>
  </si>
  <si>
    <t xml:space="preserve">2009  Janvier </t>
  </si>
  <si>
    <t>2009  1er    Trim.</t>
  </si>
  <si>
    <t xml:space="preserve">2008 </t>
  </si>
  <si>
    <t>2009</t>
  </si>
  <si>
    <t xml:space="preserve">2010  Janvier </t>
  </si>
  <si>
    <t>2010</t>
  </si>
  <si>
    <t>2011  Janvier</t>
  </si>
  <si>
    <t>2011</t>
  </si>
  <si>
    <t>2012</t>
  </si>
  <si>
    <t>2013</t>
  </si>
  <si>
    <t>2014</t>
  </si>
  <si>
    <t>2015</t>
  </si>
  <si>
    <t>2016</t>
  </si>
  <si>
    <t>2012 1er Trim.</t>
  </si>
  <si>
    <t xml:space="preserve">           OPERATIONS FINANCIERES CONSOLIDEES DE L'ETAT</t>
  </si>
  <si>
    <t>2012  Janvier</t>
  </si>
  <si>
    <t>TOTAL</t>
  </si>
  <si>
    <t>2010  1er Trim.</t>
  </si>
  <si>
    <t>2011  1er Trim.</t>
  </si>
  <si>
    <t xml:space="preserve">         2ème Trim.</t>
  </si>
  <si>
    <t xml:space="preserve">         3ème Trim.</t>
  </si>
  <si>
    <t xml:space="preserve">         4ème Trim.</t>
  </si>
  <si>
    <t>2013 Janvier</t>
  </si>
  <si>
    <t>2013 1er Trim.</t>
  </si>
  <si>
    <t>2014 1er Trim.</t>
  </si>
  <si>
    <t xml:space="preserve">   2014 Janvier </t>
  </si>
  <si>
    <t xml:space="preserve">            Février </t>
  </si>
  <si>
    <t xml:space="preserve">           Juin</t>
  </si>
  <si>
    <t xml:space="preserve">           Juillet</t>
  </si>
  <si>
    <t xml:space="preserve">           Août</t>
  </si>
  <si>
    <t xml:space="preserve">   2015 Janvier </t>
  </si>
  <si>
    <t xml:space="preserve">          Octobre </t>
  </si>
  <si>
    <t xml:space="preserve">          Novembre</t>
  </si>
  <si>
    <t xml:space="preserve">          Décembre</t>
  </si>
  <si>
    <t xml:space="preserve">   2016 Janvier </t>
  </si>
  <si>
    <t xml:space="preserve">            Mars</t>
  </si>
  <si>
    <t xml:space="preserve">            Avril</t>
  </si>
  <si>
    <t xml:space="preserve">            Mai</t>
  </si>
  <si>
    <t xml:space="preserve">Sources: BRB et Ministère des Finances, du Budget  et de la Privatisation </t>
  </si>
  <si>
    <t xml:space="preserve">        Rubriques </t>
  </si>
  <si>
    <t xml:space="preserve">   2017 Janvier </t>
  </si>
  <si>
    <t>2008  1er    Trim.</t>
  </si>
  <si>
    <t>2007  1er    Trim.</t>
  </si>
  <si>
    <t>2005  1er    Trim.</t>
  </si>
  <si>
    <t>2006  1er    Trim.</t>
  </si>
  <si>
    <t>2015    Juillet</t>
  </si>
  <si>
    <t>2015   Août</t>
  </si>
  <si>
    <t>2015 Septembre</t>
  </si>
  <si>
    <t xml:space="preserve">2015   Octobre </t>
  </si>
  <si>
    <t>2015  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</si>
  <si>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</si>
  <si>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</si>
  <si>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</si>
  <si>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</si>
  <si>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</si>
  <si>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</si>
  <si>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</si>
  <si>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</si>
  <si>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 Décembre</t>
  </si>
  <si>
    <r>
      <t>2014  4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</si>
  <si>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 xml:space="preserve">   2018 Janvier </t>
  </si>
  <si>
    <t>2017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</si>
</sst>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_ * #,##0.0_ ;_ * \-#,##0.0_ ;_ * &quot;-&quot;??_ ;_ @_ "/>
    <numFmt numFmtId="208" formatCode="0.0"/>
    <numFmt numFmtId="209" formatCode="_ * #,##0.0_ ;_ * \-#,##0.0_ ;_ * &quot;-&quot;?_ ;_ @_ "/>
    <numFmt numFmtId="210" formatCode="#,##0.0"/>
    <numFmt numFmtId="211" formatCode="#,##0.000_);\(#,##0.000\)"/>
    <numFmt numFmtId="212" formatCode="#,##0.0000_);\(#,##0.0000\)"/>
    <numFmt numFmtId="213" formatCode="_-* #,##0.0\ _F_-;\-* #,##0.0\ _F_-;_-* &quot;-&quot;?\ _F_-;_-@_-"/>
    <numFmt numFmtId="214" formatCode="_-* #,##0.0\ _€_-;\-* #,##0.0\ _€_-;_-* &quot;-&quot;?\ _€_-;_-@_-"/>
    <numFmt numFmtId="215" formatCode="_ * #,##0_ ;_ * \-#,##0_ ;_ * &quot;-&quot;??_ ;_ @_ "/>
    <numFmt numFmtId="216" formatCode="_-* #,##0.0\ _€_-;\-* #,##0.0\ _€_-;_-* &quot;-&quot;??\ _€_-;_-@_-"/>
    <numFmt numFmtId="217" formatCode="_(* #,##0.0_);_(* \(#,##0.0\);_(* &quot;-&quot;?_);_(@_)"/>
  </numFmts>
  <fonts count="44">
    <font>
      <sz val="12"/>
      <name val="Helv"/>
      <family val="0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206" fontId="0" fillId="0" borderId="0" xfId="0" applyAlignment="1">
      <alignment/>
    </xf>
    <xf numFmtId="206" fontId="4" fillId="0" borderId="0" xfId="0" applyFont="1" applyAlignment="1">
      <alignment horizontal="fill"/>
    </xf>
    <xf numFmtId="206" fontId="4" fillId="0" borderId="0" xfId="0" applyFont="1" applyAlignment="1">
      <alignment/>
    </xf>
    <xf numFmtId="206" fontId="4" fillId="0" borderId="10" xfId="0" applyFont="1" applyBorder="1" applyAlignment="1">
      <alignment/>
    </xf>
    <xf numFmtId="206" fontId="4" fillId="0" borderId="0" xfId="0" applyFont="1" applyBorder="1" applyAlignment="1">
      <alignment/>
    </xf>
    <xf numFmtId="206" fontId="4" fillId="33" borderId="0" xfId="0" applyFont="1" applyFill="1" applyAlignment="1">
      <alignment/>
    </xf>
    <xf numFmtId="203" fontId="4" fillId="0" borderId="0" xfId="42" applyFont="1" applyAlignment="1">
      <alignment/>
    </xf>
    <xf numFmtId="210" fontId="4" fillId="0" borderId="0" xfId="0" applyNumberFormat="1" applyFont="1" applyAlignment="1">
      <alignment/>
    </xf>
    <xf numFmtId="210" fontId="4" fillId="0" borderId="0" xfId="0" applyNumberFormat="1" applyFont="1" applyBorder="1" applyAlignment="1">
      <alignment horizontal="right"/>
    </xf>
    <xf numFmtId="207" fontId="2" fillId="0" borderId="0" xfId="42" applyNumberFormat="1" applyFont="1" applyBorder="1" applyAlignment="1" applyProtection="1">
      <alignment/>
      <protection/>
    </xf>
    <xf numFmtId="210" fontId="23" fillId="0" borderId="0" xfId="0" applyNumberFormat="1" applyFont="1" applyBorder="1" applyAlignment="1" applyProtection="1">
      <alignment horizontal="fill"/>
      <protection/>
    </xf>
    <xf numFmtId="210" fontId="24" fillId="0" borderId="0" xfId="42" applyNumberFormat="1" applyFont="1" applyBorder="1" applyAlignment="1" applyProtection="1">
      <alignment/>
      <protection/>
    </xf>
    <xf numFmtId="210" fontId="23" fillId="0" borderId="0" xfId="0" applyNumberFormat="1" applyFont="1" applyBorder="1" applyAlignment="1" applyProtection="1">
      <alignment/>
      <protection/>
    </xf>
    <xf numFmtId="204" fontId="23" fillId="0" borderId="0" xfId="0" applyNumberFormat="1" applyFont="1" applyBorder="1" applyAlignment="1" applyProtection="1">
      <alignment/>
      <protection/>
    </xf>
    <xf numFmtId="204" fontId="4" fillId="0" borderId="0" xfId="0" applyNumberFormat="1" applyFont="1" applyBorder="1" applyAlignment="1" applyProtection="1">
      <alignment/>
      <protection/>
    </xf>
    <xf numFmtId="206" fontId="4" fillId="0" borderId="11" xfId="0" applyFont="1" applyBorder="1" applyAlignment="1">
      <alignment/>
    </xf>
    <xf numFmtId="204" fontId="4" fillId="0" borderId="12" xfId="0" applyNumberFormat="1" applyFont="1" applyBorder="1" applyAlignment="1" applyProtection="1">
      <alignment/>
      <protection/>
    </xf>
    <xf numFmtId="206" fontId="4" fillId="0" borderId="13" xfId="0" applyFont="1" applyBorder="1" applyAlignment="1">
      <alignment/>
    </xf>
    <xf numFmtId="206" fontId="4" fillId="0" borderId="14" xfId="0" applyFont="1" applyBorder="1" applyAlignment="1">
      <alignment/>
    </xf>
    <xf numFmtId="206" fontId="4" fillId="0" borderId="11" xfId="0" applyFont="1" applyBorder="1" applyAlignment="1">
      <alignment horizontal="fill"/>
    </xf>
    <xf numFmtId="206" fontId="4" fillId="0" borderId="12" xfId="0" applyFont="1" applyBorder="1" applyAlignment="1">
      <alignment horizontal="fill"/>
    </xf>
    <xf numFmtId="206" fontId="4" fillId="0" borderId="0" xfId="0" applyFont="1" applyBorder="1" applyAlignment="1">
      <alignment horizontal="fill"/>
    </xf>
    <xf numFmtId="206" fontId="4" fillId="0" borderId="15" xfId="0" applyFont="1" applyBorder="1" applyAlignment="1">
      <alignment/>
    </xf>
    <xf numFmtId="206" fontId="4" fillId="0" borderId="16" xfId="0" applyFont="1" applyBorder="1" applyAlignment="1">
      <alignment/>
    </xf>
    <xf numFmtId="206" fontId="4" fillId="0" borderId="10" xfId="0" applyFont="1" applyBorder="1" applyAlignment="1">
      <alignment horizontal="fill"/>
    </xf>
    <xf numFmtId="206" fontId="4" fillId="0" borderId="16" xfId="0" applyFont="1" applyBorder="1" applyAlignment="1">
      <alignment horizontal="right"/>
    </xf>
    <xf numFmtId="206" fontId="4" fillId="0" borderId="16" xfId="0" applyFont="1" applyBorder="1" applyAlignment="1">
      <alignment horizontal="center"/>
    </xf>
    <xf numFmtId="206" fontId="4" fillId="0" borderId="12" xfId="0" applyFont="1" applyBorder="1" applyAlignment="1">
      <alignment/>
    </xf>
    <xf numFmtId="206" fontId="4" fillId="0" borderId="17" xfId="0" applyFont="1" applyBorder="1" applyAlignment="1">
      <alignment/>
    </xf>
    <xf numFmtId="206" fontId="4" fillId="0" borderId="18" xfId="0" applyFont="1" applyBorder="1" applyAlignment="1">
      <alignment horizontal="center"/>
    </xf>
    <xf numFmtId="206" fontId="4" fillId="0" borderId="18" xfId="0" applyFont="1" applyBorder="1" applyAlignment="1">
      <alignment/>
    </xf>
    <xf numFmtId="206" fontId="4" fillId="0" borderId="19" xfId="0" applyFont="1" applyBorder="1" applyAlignment="1">
      <alignment/>
    </xf>
    <xf numFmtId="206" fontId="4" fillId="0" borderId="0" xfId="0" applyFont="1" applyBorder="1" applyAlignment="1">
      <alignment/>
    </xf>
    <xf numFmtId="206" fontId="4" fillId="0" borderId="0" xfId="0" applyFont="1" applyBorder="1" applyAlignment="1">
      <alignment horizontal="right"/>
    </xf>
    <xf numFmtId="206" fontId="4" fillId="0" borderId="10" xfId="0" applyFont="1" applyBorder="1" applyAlignment="1">
      <alignment horizontal="right"/>
    </xf>
    <xf numFmtId="206" fontId="4" fillId="0" borderId="18" xfId="0" applyFont="1" applyBorder="1" applyAlignment="1">
      <alignment horizontal="right"/>
    </xf>
    <xf numFmtId="206" fontId="4" fillId="0" borderId="12" xfId="0" applyFont="1" applyBorder="1" applyAlignment="1">
      <alignment horizontal="right"/>
    </xf>
    <xf numFmtId="206" fontId="4" fillId="0" borderId="17" xfId="0" applyFont="1" applyBorder="1" applyAlignment="1">
      <alignment horizontal="right"/>
    </xf>
    <xf numFmtId="206" fontId="4" fillId="0" borderId="13" xfId="0" applyFont="1" applyBorder="1" applyAlignment="1">
      <alignment horizontal="center"/>
    </xf>
    <xf numFmtId="206" fontId="4" fillId="0" borderId="13" xfId="0" applyFont="1" applyBorder="1" applyAlignment="1">
      <alignment horizontal="right"/>
    </xf>
    <xf numFmtId="204" fontId="4" fillId="0" borderId="20" xfId="0" applyNumberFormat="1" applyFont="1" applyBorder="1" applyAlignment="1" applyProtection="1">
      <alignment/>
      <protection/>
    </xf>
    <xf numFmtId="204" fontId="4" fillId="0" borderId="17" xfId="0" applyNumberFormat="1" applyFont="1" applyBorder="1" applyAlignment="1" applyProtection="1">
      <alignment/>
      <protection/>
    </xf>
    <xf numFmtId="204" fontId="4" fillId="0" borderId="17" xfId="0" applyNumberFormat="1" applyFont="1" applyBorder="1" applyAlignment="1" applyProtection="1">
      <alignment horizontal="center"/>
      <protection/>
    </xf>
    <xf numFmtId="204" fontId="4" fillId="0" borderId="11" xfId="0" applyNumberFormat="1" applyFont="1" applyBorder="1" applyAlignment="1" applyProtection="1">
      <alignment/>
      <protection/>
    </xf>
    <xf numFmtId="204" fontId="4" fillId="0" borderId="19" xfId="0" applyNumberFormat="1" applyFont="1" applyBorder="1" applyAlignment="1" applyProtection="1">
      <alignment/>
      <protection/>
    </xf>
    <xf numFmtId="210" fontId="4" fillId="0" borderId="18" xfId="42" applyNumberFormat="1" applyFont="1" applyBorder="1" applyAlignment="1" applyProtection="1">
      <alignment/>
      <protection/>
    </xf>
    <xf numFmtId="210" fontId="25" fillId="0" borderId="16" xfId="42" applyNumberFormat="1" applyFont="1" applyBorder="1" applyAlignment="1" applyProtection="1">
      <alignment/>
      <protection/>
    </xf>
    <xf numFmtId="210" fontId="4" fillId="0" borderId="18" xfId="42" applyNumberFormat="1" applyFont="1" applyBorder="1" applyAlignment="1">
      <alignment/>
    </xf>
    <xf numFmtId="210" fontId="4" fillId="0" borderId="16" xfId="42" applyNumberFormat="1" applyFont="1" applyBorder="1" applyAlignment="1" applyProtection="1">
      <alignment/>
      <protection/>
    </xf>
    <xf numFmtId="207" fontId="3" fillId="0" borderId="18" xfId="42" applyNumberFormat="1" applyFont="1" applyBorder="1" applyAlignment="1">
      <alignment horizontal="right"/>
    </xf>
    <xf numFmtId="210" fontId="4" fillId="33" borderId="18" xfId="42" applyNumberFormat="1" applyFont="1" applyFill="1" applyBorder="1" applyAlignment="1">
      <alignment/>
    </xf>
    <xf numFmtId="207" fontId="3" fillId="0" borderId="0" xfId="42" applyNumberFormat="1" applyFont="1" applyBorder="1" applyAlignment="1">
      <alignment horizontal="right"/>
    </xf>
    <xf numFmtId="210" fontId="4" fillId="0" borderId="16" xfId="42" applyNumberFormat="1" applyFont="1" applyBorder="1" applyAlignment="1">
      <alignment/>
    </xf>
    <xf numFmtId="210" fontId="4" fillId="0" borderId="18" xfId="42" applyNumberFormat="1" applyFont="1" applyBorder="1" applyAlignment="1" applyProtection="1">
      <alignment horizontal="right"/>
      <protection/>
    </xf>
    <xf numFmtId="210" fontId="4" fillId="0" borderId="18" xfId="0" applyNumberFormat="1" applyFont="1" applyBorder="1" applyAlignment="1" applyProtection="1">
      <alignment horizontal="right"/>
      <protection/>
    </xf>
    <xf numFmtId="210" fontId="4" fillId="0" borderId="18" xfId="42" applyNumberFormat="1" applyFont="1" applyBorder="1" applyAlignment="1" quotePrefix="1">
      <alignment horizontal="right"/>
    </xf>
    <xf numFmtId="210" fontId="4" fillId="0" borderId="18" xfId="42" applyNumberFormat="1" applyFont="1" applyBorder="1" applyAlignment="1">
      <alignment horizontal="right"/>
    </xf>
    <xf numFmtId="210" fontId="4" fillId="0" borderId="18" xfId="0" applyNumberFormat="1" applyFont="1" applyBorder="1" applyAlignment="1" applyProtection="1">
      <alignment/>
      <protection/>
    </xf>
    <xf numFmtId="210" fontId="4" fillId="33" borderId="18" xfId="42" applyNumberFormat="1" applyFont="1" applyFill="1" applyBorder="1" applyAlignment="1" applyProtection="1">
      <alignment/>
      <protection/>
    </xf>
    <xf numFmtId="210" fontId="4" fillId="0" borderId="18" xfId="0" applyNumberFormat="1" applyFont="1" applyFill="1" applyBorder="1" applyAlignment="1" applyProtection="1">
      <alignment/>
      <protection/>
    </xf>
    <xf numFmtId="210" fontId="4" fillId="0" borderId="16" xfId="42" applyNumberFormat="1" applyFont="1" applyBorder="1" applyAlignment="1" applyProtection="1">
      <alignment horizontal="right"/>
      <protection/>
    </xf>
    <xf numFmtId="210" fontId="4" fillId="0" borderId="16" xfId="42" applyNumberFormat="1" applyFont="1" applyBorder="1" applyAlignment="1">
      <alignment horizontal="right"/>
    </xf>
    <xf numFmtId="203" fontId="4" fillId="0" borderId="18" xfId="42" applyFont="1" applyBorder="1" applyAlignment="1">
      <alignment/>
    </xf>
    <xf numFmtId="207" fontId="3" fillId="0" borderId="16" xfId="42" applyNumberFormat="1" applyFont="1" applyBorder="1" applyAlignment="1">
      <alignment horizontal="right"/>
    </xf>
    <xf numFmtId="210" fontId="4" fillId="0" borderId="20" xfId="0" applyNumberFormat="1" applyFont="1" applyBorder="1" applyAlignment="1" applyProtection="1">
      <alignment horizontal="fill"/>
      <protection/>
    </xf>
    <xf numFmtId="210" fontId="4" fillId="0" borderId="17" xfId="0" applyNumberFormat="1" applyFont="1" applyBorder="1" applyAlignment="1" applyProtection="1">
      <alignment horizontal="fill"/>
      <protection/>
    </xf>
    <xf numFmtId="210" fontId="25" fillId="0" borderId="17" xfId="42" applyNumberFormat="1" applyFont="1" applyBorder="1" applyAlignment="1" applyProtection="1">
      <alignment/>
      <protection/>
    </xf>
    <xf numFmtId="210" fontId="4" fillId="0" borderId="20" xfId="0" applyNumberFormat="1" applyFont="1" applyBorder="1" applyAlignment="1" applyProtection="1">
      <alignment/>
      <protection/>
    </xf>
    <xf numFmtId="210" fontId="4" fillId="0" borderId="0" xfId="0" applyNumberFormat="1" applyFont="1" applyBorder="1" applyAlignment="1">
      <alignment horizontal="fill"/>
    </xf>
    <xf numFmtId="206" fontId="4" fillId="0" borderId="21" xfId="0" applyFont="1" applyBorder="1" applyAlignment="1">
      <alignment/>
    </xf>
    <xf numFmtId="206" fontId="4" fillId="0" borderId="22" xfId="0" applyFont="1" applyBorder="1" applyAlignment="1">
      <alignment/>
    </xf>
    <xf numFmtId="210" fontId="4" fillId="0" borderId="23" xfId="0" applyNumberFormat="1" applyFont="1" applyBorder="1" applyAlignment="1">
      <alignment horizontal="center"/>
    </xf>
    <xf numFmtId="206" fontId="4" fillId="0" borderId="24" xfId="0" applyFont="1" applyBorder="1" applyAlignment="1">
      <alignment horizontal="fill"/>
    </xf>
    <xf numFmtId="210" fontId="4" fillId="0" borderId="25" xfId="0" applyNumberFormat="1" applyFont="1" applyBorder="1" applyAlignment="1">
      <alignment horizontal="fill"/>
    </xf>
    <xf numFmtId="210" fontId="4" fillId="0" borderId="26" xfId="0" applyNumberFormat="1" applyFont="1" applyBorder="1" applyAlignment="1">
      <alignment horizontal="center"/>
    </xf>
    <xf numFmtId="210" fontId="4" fillId="0" borderId="27" xfId="0" applyNumberFormat="1" applyFont="1" applyBorder="1" applyAlignment="1">
      <alignment/>
    </xf>
    <xf numFmtId="210" fontId="4" fillId="0" borderId="27" xfId="0" applyNumberFormat="1" applyFont="1" applyBorder="1" applyAlignment="1">
      <alignment horizontal="center"/>
    </xf>
    <xf numFmtId="206" fontId="4" fillId="0" borderId="28" xfId="0" applyFont="1" applyBorder="1" applyAlignment="1">
      <alignment/>
    </xf>
    <xf numFmtId="206" fontId="4" fillId="0" borderId="29" xfId="0" applyFont="1" applyBorder="1" applyAlignment="1">
      <alignment/>
    </xf>
    <xf numFmtId="210" fontId="4" fillId="0" borderId="25" xfId="0" applyNumberFormat="1" applyFont="1" applyBorder="1" applyAlignment="1" applyProtection="1">
      <alignment/>
      <protection/>
    </xf>
    <xf numFmtId="206" fontId="4" fillId="0" borderId="29" xfId="0" applyFont="1" applyBorder="1" applyAlignment="1" quotePrefix="1">
      <alignment/>
    </xf>
    <xf numFmtId="210" fontId="4" fillId="0" borderId="27" xfId="42" applyNumberFormat="1" applyFont="1" applyBorder="1" applyAlignment="1" applyProtection="1">
      <alignment/>
      <protection/>
    </xf>
    <xf numFmtId="206" fontId="4" fillId="33" borderId="29" xfId="0" applyFont="1" applyFill="1" applyBorder="1" applyAlignment="1" quotePrefix="1">
      <alignment/>
    </xf>
    <xf numFmtId="210" fontId="4" fillId="0" borderId="27" xfId="42" applyNumberFormat="1" applyFont="1" applyBorder="1" applyAlignment="1">
      <alignment/>
    </xf>
    <xf numFmtId="210" fontId="4" fillId="0" borderId="28" xfId="42" applyNumberFormat="1" applyFont="1" applyBorder="1" applyAlignment="1">
      <alignment/>
    </xf>
    <xf numFmtId="206" fontId="4" fillId="0" borderId="29" xfId="0" applyFont="1" applyFill="1" applyBorder="1" applyAlignment="1" quotePrefix="1">
      <alignment/>
    </xf>
    <xf numFmtId="206" fontId="4" fillId="0" borderId="29" xfId="0" applyFont="1" applyFill="1" applyBorder="1" applyAlignment="1">
      <alignment/>
    </xf>
    <xf numFmtId="206" fontId="4" fillId="0" borderId="30" xfId="0" applyFont="1" applyBorder="1" applyAlignment="1">
      <alignment/>
    </xf>
    <xf numFmtId="210" fontId="4" fillId="0" borderId="25" xfId="0" applyNumberFormat="1" applyFont="1" applyBorder="1" applyAlignment="1" applyProtection="1">
      <alignment horizontal="fill"/>
      <protection/>
    </xf>
    <xf numFmtId="206" fontId="23" fillId="0" borderId="31" xfId="0" applyFont="1" applyFill="1" applyBorder="1" applyAlignment="1">
      <alignment/>
    </xf>
    <xf numFmtId="210" fontId="23" fillId="0" borderId="27" xfId="0" applyNumberFormat="1" applyFont="1" applyBorder="1" applyAlignment="1" applyProtection="1">
      <alignment horizontal="fill"/>
      <protection/>
    </xf>
    <xf numFmtId="210" fontId="23" fillId="0" borderId="27" xfId="0" applyNumberFormat="1" applyFont="1" applyBorder="1" applyAlignment="1" applyProtection="1">
      <alignment/>
      <protection/>
    </xf>
    <xf numFmtId="206" fontId="4" fillId="0" borderId="32" xfId="0" applyFont="1" applyBorder="1" applyAlignment="1">
      <alignment/>
    </xf>
    <xf numFmtId="204" fontId="4" fillId="0" borderId="33" xfId="0" applyNumberFormat="1" applyFont="1" applyBorder="1" applyAlignment="1" applyProtection="1">
      <alignment/>
      <protection/>
    </xf>
    <xf numFmtId="204" fontId="23" fillId="0" borderId="33" xfId="0" applyNumberFormat="1" applyFont="1" applyBorder="1" applyAlignment="1" applyProtection="1">
      <alignment/>
      <protection/>
    </xf>
    <xf numFmtId="210" fontId="23" fillId="0" borderId="34" xfId="0" applyNumberFormat="1" applyFont="1" applyBorder="1" applyAlignment="1" applyProtection="1">
      <alignment/>
      <protection/>
    </xf>
    <xf numFmtId="210" fontId="4" fillId="0" borderId="0" xfId="42" applyNumberFormat="1" applyFont="1" applyBorder="1" applyAlignment="1">
      <alignment horizontal="right"/>
    </xf>
    <xf numFmtId="204" fontId="4" fillId="0" borderId="15" xfId="0" applyNumberFormat="1" applyFont="1" applyBorder="1" applyAlignment="1" applyProtection="1">
      <alignment/>
      <protection/>
    </xf>
    <xf numFmtId="204" fontId="4" fillId="0" borderId="19" xfId="0" applyNumberFormat="1" applyFont="1" applyBorder="1" applyAlignment="1" applyProtection="1">
      <alignment horizontal="center"/>
      <protection/>
    </xf>
    <xf numFmtId="205" fontId="4" fillId="0" borderId="35" xfId="0" applyNumberFormat="1" applyFont="1" applyBorder="1" applyAlignment="1" applyProtection="1" quotePrefix="1">
      <alignment/>
      <protection/>
    </xf>
    <xf numFmtId="210" fontId="4" fillId="0" borderId="26" xfId="0" applyNumberFormat="1" applyFont="1" applyBorder="1" applyAlignment="1" applyProtection="1">
      <alignment/>
      <protection/>
    </xf>
    <xf numFmtId="210" fontId="4" fillId="0" borderId="20" xfId="42" applyNumberFormat="1" applyFont="1" applyBorder="1" applyAlignment="1">
      <alignment/>
    </xf>
    <xf numFmtId="210" fontId="4" fillId="0" borderId="20" xfId="42" applyNumberFormat="1" applyFont="1" applyBorder="1" applyAlignment="1" applyProtection="1">
      <alignment/>
      <protection/>
    </xf>
    <xf numFmtId="206" fontId="4" fillId="0" borderId="35" xfId="0" applyFont="1" applyBorder="1" applyAlignment="1">
      <alignment/>
    </xf>
    <xf numFmtId="205" fontId="4" fillId="0" borderId="30" xfId="0" applyNumberFormat="1" applyFont="1" applyBorder="1" applyAlignment="1" applyProtection="1" quotePrefix="1">
      <alignment horizontal="center"/>
      <protection/>
    </xf>
    <xf numFmtId="210" fontId="4" fillId="0" borderId="28" xfId="42" applyNumberFormat="1" applyFont="1" applyBorder="1" applyAlignment="1">
      <alignment horizontal="right"/>
    </xf>
    <xf numFmtId="210" fontId="4" fillId="0" borderId="27" xfId="42" applyNumberFormat="1" applyFont="1" applyBorder="1" applyAlignment="1">
      <alignment horizontal="right"/>
    </xf>
    <xf numFmtId="206" fontId="26" fillId="0" borderId="29" xfId="0" applyFont="1" applyFill="1" applyBorder="1" applyAlignment="1">
      <alignment/>
    </xf>
    <xf numFmtId="207" fontId="4" fillId="0" borderId="18" xfId="42" applyNumberFormat="1" applyFont="1" applyBorder="1" applyAlignment="1">
      <alignment/>
    </xf>
    <xf numFmtId="206" fontId="4" fillId="0" borderId="10" xfId="0" applyFont="1" applyBorder="1" applyAlignment="1">
      <alignment horizontal="center"/>
    </xf>
    <xf numFmtId="206" fontId="4" fillId="0" borderId="0" xfId="0" applyFont="1" applyBorder="1" applyAlignment="1">
      <alignment horizontal="center"/>
    </xf>
    <xf numFmtId="210" fontId="4" fillId="33" borderId="28" xfId="42" applyNumberFormat="1" applyFont="1" applyFill="1" applyBorder="1" applyAlignment="1">
      <alignment/>
    </xf>
    <xf numFmtId="210" fontId="4" fillId="0" borderId="28" xfId="42" applyNumberFormat="1" applyFont="1" applyBorder="1" applyAlignment="1" applyProtection="1">
      <alignment/>
      <protection/>
    </xf>
    <xf numFmtId="210" fontId="4" fillId="0" borderId="0" xfId="0" applyNumberFormat="1" applyFont="1" applyBorder="1" applyAlignment="1">
      <alignment/>
    </xf>
    <xf numFmtId="207" fontId="3" fillId="0" borderId="10" xfId="42" applyNumberFormat="1" applyFont="1" applyBorder="1" applyAlignment="1">
      <alignment horizontal="right"/>
    </xf>
    <xf numFmtId="210" fontId="4" fillId="0" borderId="10" xfId="42" applyNumberFormat="1" applyFont="1" applyBorder="1" applyAlignment="1">
      <alignment horizontal="right"/>
    </xf>
    <xf numFmtId="210" fontId="4" fillId="0" borderId="10" xfId="42" applyNumberFormat="1" applyFont="1" applyBorder="1" applyAlignment="1">
      <alignment/>
    </xf>
    <xf numFmtId="210" fontId="4" fillId="33" borderId="10" xfId="42" applyNumberFormat="1" applyFont="1" applyFill="1" applyBorder="1" applyAlignment="1" applyProtection="1">
      <alignment/>
      <protection/>
    </xf>
    <xf numFmtId="210" fontId="25" fillId="0" borderId="18" xfId="42" applyNumberFormat="1" applyFont="1" applyBorder="1" applyAlignment="1" applyProtection="1">
      <alignment/>
      <protection/>
    </xf>
    <xf numFmtId="206" fontId="26" fillId="0" borderId="31" xfId="0" applyFont="1" applyBorder="1" applyAlignment="1">
      <alignment horizontal="center"/>
    </xf>
    <xf numFmtId="206" fontId="26" fillId="0" borderId="0" xfId="0" applyFont="1" applyBorder="1" applyAlignment="1">
      <alignment horizontal="center"/>
    </xf>
    <xf numFmtId="206" fontId="26" fillId="0" borderId="27" xfId="0" applyFont="1" applyBorder="1" applyAlignment="1">
      <alignment horizontal="center"/>
    </xf>
    <xf numFmtId="206" fontId="4" fillId="0" borderId="10" xfId="0" applyFont="1" applyBorder="1" applyAlignment="1">
      <alignment horizontal="center"/>
    </xf>
    <xf numFmtId="206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38100</xdr:rowOff>
    </xdr:from>
    <xdr:to>
      <xdr:col>0</xdr:col>
      <xdr:colOff>1600200</xdr:colOff>
      <xdr:row>17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66675" y="1047750"/>
          <a:ext cx="1533525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95">
          <cell r="AA95">
            <v>349.32793633909637</v>
          </cell>
        </row>
        <row r="109">
          <cell r="AA109">
            <v>9840.500000000002</v>
          </cell>
        </row>
        <row r="120">
          <cell r="AA120">
            <v>1745.7999999999997</v>
          </cell>
        </row>
        <row r="128">
          <cell r="Y128">
            <v>-231.7</v>
          </cell>
          <cell r="Z128">
            <v>-2.3</v>
          </cell>
        </row>
        <row r="160">
          <cell r="AA160">
            <v>-2400</v>
          </cell>
        </row>
        <row r="172">
          <cell r="AA172">
            <v>11773.6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79"/>
  <sheetViews>
    <sheetView showGridLines="0" tabSelected="1" zoomScalePageLayoutView="0" workbookViewId="0" topLeftCell="A11">
      <pane xSplit="1" ySplit="7" topLeftCell="B261" activePane="bottomRight" state="frozen"/>
      <selection pane="topLeft" activeCell="A11" sqref="A11"/>
      <selection pane="topRight" activeCell="B11" sqref="B11"/>
      <selection pane="bottomLeft" activeCell="A18" sqref="A18"/>
      <selection pane="bottomRight" activeCell="F268" sqref="F268"/>
    </sheetView>
  </sheetViews>
  <sheetFormatPr defaultColWidth="14.88671875" defaultRowHeight="15.75"/>
  <cols>
    <col min="1" max="1" width="18.77734375" style="2" customWidth="1"/>
    <col min="2" max="2" width="14.10546875" style="2" customWidth="1"/>
    <col min="3" max="3" width="12.6640625" style="2" customWidth="1"/>
    <col min="4" max="4" width="15.4453125" style="2" customWidth="1"/>
    <col min="5" max="5" width="14.6640625" style="2" customWidth="1"/>
    <col min="6" max="6" width="13.3359375" style="2" customWidth="1"/>
    <col min="7" max="7" width="13.4453125" style="2" customWidth="1"/>
    <col min="8" max="8" width="12.99609375" style="2" customWidth="1"/>
    <col min="9" max="9" width="11.99609375" style="2" hidden="1" customWidth="1"/>
    <col min="10" max="10" width="12.10546875" style="2" bestFit="1" customWidth="1"/>
    <col min="11" max="11" width="11.99609375" style="2" customWidth="1"/>
    <col min="12" max="12" width="11.77734375" style="2" customWidth="1"/>
    <col min="13" max="13" width="11.3359375" style="2" customWidth="1"/>
    <col min="14" max="14" width="12.3359375" style="2" bestFit="1" customWidth="1"/>
    <col min="15" max="15" width="13.99609375" style="7" customWidth="1"/>
    <col min="16" max="16384" width="14.88671875" style="2" customWidth="1"/>
  </cols>
  <sheetData>
    <row r="1" spans="1:15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8"/>
    </row>
    <row r="2" spans="1:15" ht="15.7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18</v>
      </c>
    </row>
    <row r="3" spans="1:15" ht="15.75">
      <c r="A3" s="119" t="s">
        <v>54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1:15" ht="15.75">
      <c r="A4" s="119" t="s">
        <v>27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</row>
    <row r="5" spans="1:15" ht="15.75">
      <c r="A5" s="72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3"/>
    </row>
    <row r="6" spans="1:15" ht="15.75">
      <c r="A6" s="103" t="s">
        <v>79</v>
      </c>
      <c r="B6" s="31"/>
      <c r="C6" s="17"/>
      <c r="D6" s="18"/>
      <c r="E6" s="18"/>
      <c r="F6" s="18"/>
      <c r="G6" s="18"/>
      <c r="H6" s="18"/>
      <c r="I6" s="18"/>
      <c r="J6" s="18"/>
      <c r="K6" s="18"/>
      <c r="L6" s="18"/>
      <c r="M6" s="22"/>
      <c r="N6" s="22"/>
      <c r="O6" s="74" t="s">
        <v>17</v>
      </c>
    </row>
    <row r="7" spans="1:15" ht="15.75">
      <c r="A7" s="78"/>
      <c r="B7" s="29" t="s">
        <v>13</v>
      </c>
      <c r="C7" s="3"/>
      <c r="D7" s="4"/>
      <c r="E7" s="4"/>
      <c r="F7" s="4" t="s">
        <v>15</v>
      </c>
      <c r="G7" s="4"/>
      <c r="H7" s="4"/>
      <c r="I7" s="4"/>
      <c r="J7" s="4"/>
      <c r="K7" s="4"/>
      <c r="L7" s="4"/>
      <c r="M7" s="23"/>
      <c r="N7" s="23"/>
      <c r="O7" s="75"/>
    </row>
    <row r="8" spans="1:15" ht="15.75">
      <c r="A8" s="78"/>
      <c r="B8" s="29" t="s">
        <v>12</v>
      </c>
      <c r="C8" s="24"/>
      <c r="D8" s="21"/>
      <c r="E8" s="21"/>
      <c r="F8" s="21"/>
      <c r="G8" s="21"/>
      <c r="H8" s="21"/>
      <c r="I8" s="21"/>
      <c r="J8" s="21"/>
      <c r="K8" s="21"/>
      <c r="L8" s="21"/>
      <c r="M8" s="25" t="s">
        <v>0</v>
      </c>
      <c r="N8" s="26" t="s">
        <v>33</v>
      </c>
      <c r="O8" s="76" t="s">
        <v>56</v>
      </c>
    </row>
    <row r="9" spans="1:15" ht="15.75">
      <c r="A9" s="78"/>
      <c r="B9" s="29" t="s">
        <v>14</v>
      </c>
      <c r="C9" s="15"/>
      <c r="D9" s="27"/>
      <c r="E9" s="27"/>
      <c r="F9" s="27"/>
      <c r="G9" s="27"/>
      <c r="H9" s="27"/>
      <c r="I9" s="27"/>
      <c r="J9" s="27"/>
      <c r="K9" s="27"/>
      <c r="L9" s="27"/>
      <c r="M9" s="28"/>
      <c r="N9" s="26" t="s">
        <v>34</v>
      </c>
      <c r="O9" s="75"/>
    </row>
    <row r="10" spans="1:15" ht="15.75">
      <c r="A10" s="78"/>
      <c r="B10" s="29"/>
      <c r="C10" s="122" t="s">
        <v>28</v>
      </c>
      <c r="D10" s="123"/>
      <c r="E10" s="123"/>
      <c r="F10" s="123"/>
      <c r="G10" s="122" t="s">
        <v>29</v>
      </c>
      <c r="H10" s="123"/>
      <c r="I10" s="123"/>
      <c r="J10" s="123"/>
      <c r="K10" s="123"/>
      <c r="L10" s="26"/>
      <c r="M10" s="30"/>
      <c r="N10" s="30"/>
      <c r="O10" s="77"/>
    </row>
    <row r="11" spans="1:15" ht="15.75">
      <c r="A11" s="78"/>
      <c r="B11" s="29"/>
      <c r="C11" s="19"/>
      <c r="D11" s="20"/>
      <c r="E11" s="20"/>
      <c r="F11" s="20"/>
      <c r="G11" s="19"/>
      <c r="H11" s="20"/>
      <c r="I11" s="20"/>
      <c r="J11" s="20"/>
      <c r="K11" s="20"/>
      <c r="L11" s="20"/>
      <c r="M11" s="30"/>
      <c r="N11" s="30"/>
      <c r="O11" s="75"/>
    </row>
    <row r="12" spans="1:15" ht="15.75">
      <c r="A12" s="78"/>
      <c r="B12" s="30"/>
      <c r="C12" s="31"/>
      <c r="D12" s="31"/>
      <c r="E12" s="31"/>
      <c r="F12" s="23"/>
      <c r="G12" s="30"/>
      <c r="H12" s="31"/>
      <c r="I12" s="4"/>
      <c r="J12" s="4"/>
      <c r="K12" s="22"/>
      <c r="L12" s="4"/>
      <c r="M12" s="3"/>
      <c r="N12" s="30"/>
      <c r="O12" s="75"/>
    </row>
    <row r="13" spans="1:15" ht="15.75">
      <c r="A13" s="78"/>
      <c r="B13" s="30"/>
      <c r="C13" s="29" t="s">
        <v>1</v>
      </c>
      <c r="D13" s="29" t="s">
        <v>2</v>
      </c>
      <c r="E13" s="29" t="s">
        <v>3</v>
      </c>
      <c r="F13" s="26" t="s">
        <v>11</v>
      </c>
      <c r="G13" s="29" t="s">
        <v>4</v>
      </c>
      <c r="H13" s="29" t="s">
        <v>38</v>
      </c>
      <c r="I13" s="32" t="s">
        <v>16</v>
      </c>
      <c r="J13" s="33"/>
      <c r="K13" s="25"/>
      <c r="L13" s="110" t="s">
        <v>11</v>
      </c>
      <c r="M13" s="34"/>
      <c r="N13" s="35"/>
      <c r="O13" s="75"/>
    </row>
    <row r="14" spans="1:15" ht="15.75">
      <c r="A14" s="78"/>
      <c r="B14" s="30"/>
      <c r="C14" s="30"/>
      <c r="D14" s="29" t="s">
        <v>25</v>
      </c>
      <c r="E14" s="30"/>
      <c r="F14" s="23"/>
      <c r="G14" s="29" t="s">
        <v>5</v>
      </c>
      <c r="H14" s="29" t="s">
        <v>39</v>
      </c>
      <c r="I14" s="36"/>
      <c r="J14" s="36"/>
      <c r="K14" s="37"/>
      <c r="L14" s="110"/>
      <c r="M14" s="3"/>
      <c r="N14" s="30"/>
      <c r="O14" s="75"/>
    </row>
    <row r="15" spans="1:15" ht="15.75">
      <c r="A15" s="78"/>
      <c r="B15" s="30"/>
      <c r="C15" s="30"/>
      <c r="D15" s="35"/>
      <c r="E15" s="30"/>
      <c r="F15" s="23"/>
      <c r="G15" s="29"/>
      <c r="H15" s="29" t="s">
        <v>31</v>
      </c>
      <c r="I15" s="33"/>
      <c r="J15" s="38" t="s">
        <v>22</v>
      </c>
      <c r="K15" s="39"/>
      <c r="L15" s="34"/>
      <c r="M15" s="3"/>
      <c r="N15" s="30"/>
      <c r="O15" s="75"/>
    </row>
    <row r="16" spans="1:15" ht="15.75">
      <c r="A16" s="78"/>
      <c r="B16" s="30"/>
      <c r="C16" s="30"/>
      <c r="D16" s="35"/>
      <c r="E16" s="30"/>
      <c r="F16" s="23"/>
      <c r="G16" s="29"/>
      <c r="H16" s="29"/>
      <c r="I16" s="26" t="s">
        <v>10</v>
      </c>
      <c r="J16" s="26" t="s">
        <v>23</v>
      </c>
      <c r="K16" s="110" t="s">
        <v>11</v>
      </c>
      <c r="L16" s="109"/>
      <c r="M16" s="3"/>
      <c r="N16" s="30"/>
      <c r="O16" s="75"/>
    </row>
    <row r="17" spans="1:15" ht="15.75">
      <c r="A17" s="104" t="s">
        <v>7</v>
      </c>
      <c r="B17" s="40"/>
      <c r="C17" s="40"/>
      <c r="D17" s="40"/>
      <c r="E17" s="40"/>
      <c r="F17" s="41"/>
      <c r="G17" s="40"/>
      <c r="H17" s="40"/>
      <c r="I17" s="42"/>
      <c r="J17" s="41" t="s">
        <v>35</v>
      </c>
      <c r="K17" s="16"/>
      <c r="L17" s="43"/>
      <c r="M17" s="43"/>
      <c r="N17" s="40"/>
      <c r="O17" s="79"/>
    </row>
    <row r="18" spans="1:15" ht="18" customHeight="1">
      <c r="A18" s="99"/>
      <c r="B18" s="44"/>
      <c r="C18" s="44"/>
      <c r="D18" s="44"/>
      <c r="E18" s="44"/>
      <c r="F18" s="97"/>
      <c r="G18" s="44"/>
      <c r="H18" s="44"/>
      <c r="I18" s="98"/>
      <c r="J18" s="44"/>
      <c r="K18" s="97"/>
      <c r="L18" s="97"/>
      <c r="M18" s="97"/>
      <c r="N18" s="44"/>
      <c r="O18" s="100"/>
    </row>
    <row r="19" spans="1:15" ht="15.75" hidden="1">
      <c r="A19" s="80" t="s">
        <v>8</v>
      </c>
      <c r="B19" s="45">
        <v>24217.7</v>
      </c>
      <c r="C19" s="45">
        <v>3693.7</v>
      </c>
      <c r="D19" s="45">
        <v>2310.7</v>
      </c>
      <c r="E19" s="45">
        <v>62</v>
      </c>
      <c r="F19" s="45">
        <f>+C19+D19+E19</f>
        <v>6066.4</v>
      </c>
      <c r="G19" s="45">
        <v>309.5</v>
      </c>
      <c r="H19" s="45">
        <v>5533.1</v>
      </c>
      <c r="I19" s="45">
        <v>-1511.5</v>
      </c>
      <c r="J19" s="45">
        <v>11302.8</v>
      </c>
      <c r="K19" s="46">
        <f>+I19+J19</f>
        <v>9791.3</v>
      </c>
      <c r="L19" s="45">
        <f>K19+H19+G19</f>
        <v>15633.9</v>
      </c>
      <c r="M19" s="47">
        <f>+F19+L19</f>
        <v>21700.3</v>
      </c>
      <c r="N19" s="45">
        <v>-37788.8</v>
      </c>
      <c r="O19" s="81">
        <f>M19+N19+B19</f>
        <v>8129.199999999997</v>
      </c>
    </row>
    <row r="20" spans="1:15" ht="15.75" hidden="1">
      <c r="A20" s="80" t="s">
        <v>9</v>
      </c>
      <c r="B20" s="45">
        <v>30093.8</v>
      </c>
      <c r="C20" s="45">
        <v>26384.6</v>
      </c>
      <c r="D20" s="45">
        <v>-3716.1</v>
      </c>
      <c r="E20" s="45">
        <v>615.8</v>
      </c>
      <c r="F20" s="45">
        <f>+C20+D20+E20</f>
        <v>23284.3</v>
      </c>
      <c r="G20" s="45">
        <v>677.9</v>
      </c>
      <c r="H20" s="45">
        <v>-2727.8</v>
      </c>
      <c r="I20" s="45">
        <v>-1934</v>
      </c>
      <c r="J20" s="45">
        <v>9009</v>
      </c>
      <c r="K20" s="46">
        <f>+I20+J20</f>
        <v>7075</v>
      </c>
      <c r="L20" s="45">
        <f>K20+H20+G20</f>
        <v>5025.099999999999</v>
      </c>
      <c r="M20" s="47">
        <f>+F20+L20</f>
        <v>28309.399999999998</v>
      </c>
      <c r="N20" s="45">
        <v>-15988.6</v>
      </c>
      <c r="O20" s="81">
        <f>M20+N20+B20</f>
        <v>42414.6</v>
      </c>
    </row>
    <row r="21" spans="1:15" ht="15.75" hidden="1">
      <c r="A21" s="80" t="s">
        <v>19</v>
      </c>
      <c r="B21" s="45">
        <v>-13700</v>
      </c>
      <c r="C21" s="45">
        <v>52959.5</v>
      </c>
      <c r="D21" s="45">
        <v>8777.6</v>
      </c>
      <c r="E21" s="45">
        <v>-197.2</v>
      </c>
      <c r="F21" s="45">
        <f>+C21+D21+E21</f>
        <v>61539.9</v>
      </c>
      <c r="G21" s="45">
        <v>409.2</v>
      </c>
      <c r="H21" s="45">
        <v>11842.8</v>
      </c>
      <c r="I21" s="45">
        <v>-3364.4</v>
      </c>
      <c r="J21" s="45">
        <v>-9500</v>
      </c>
      <c r="K21" s="46">
        <f>+I21+J21</f>
        <v>-12864.4</v>
      </c>
      <c r="L21" s="45">
        <f>K21+H21+G21</f>
        <v>-612.4000000000003</v>
      </c>
      <c r="M21" s="47">
        <f>+F21+L21</f>
        <v>60927.5</v>
      </c>
      <c r="N21" s="45">
        <v>-5765.799999999981</v>
      </c>
      <c r="O21" s="81">
        <f>M21+N21+B21</f>
        <v>41461.70000000002</v>
      </c>
    </row>
    <row r="22" spans="1:15" ht="15.75" hidden="1">
      <c r="A22" s="80" t="s">
        <v>21</v>
      </c>
      <c r="B22" s="45">
        <v>14068.9</v>
      </c>
      <c r="C22" s="45">
        <v>7059.1</v>
      </c>
      <c r="D22" s="45">
        <v>8025.6</v>
      </c>
      <c r="E22" s="45">
        <v>1281.4</v>
      </c>
      <c r="F22" s="45">
        <f>+C22+D22+E22</f>
        <v>16366.1</v>
      </c>
      <c r="G22" s="45">
        <v>-1150.9</v>
      </c>
      <c r="H22" s="45">
        <v>-9078.4</v>
      </c>
      <c r="I22" s="45">
        <v>-2041.3</v>
      </c>
      <c r="J22" s="45">
        <v>-100</v>
      </c>
      <c r="K22" s="46">
        <f>+I22+J22</f>
        <v>-2141.3</v>
      </c>
      <c r="L22" s="45">
        <f>K22+H22+G22</f>
        <v>-12370.6</v>
      </c>
      <c r="M22" s="47">
        <f>+F22+L22</f>
        <v>3995.5</v>
      </c>
      <c r="N22" s="45">
        <v>1742.3</v>
      </c>
      <c r="O22" s="81">
        <f>M22+N22+B22</f>
        <v>19806.7</v>
      </c>
    </row>
    <row r="23" spans="1:15" ht="15.75" hidden="1">
      <c r="A23" s="80" t="s">
        <v>30</v>
      </c>
      <c r="B23" s="47">
        <f>SUM(B113:B124)</f>
        <v>14891.2</v>
      </c>
      <c r="C23" s="47">
        <f aca="true" t="shared" si="0" ref="C23:O23">SUM(C113:C124)</f>
        <v>58530.700000000004</v>
      </c>
      <c r="D23" s="47">
        <f t="shared" si="0"/>
        <v>-7653.700000000001</v>
      </c>
      <c r="E23" s="47">
        <f t="shared" si="0"/>
        <v>269.9</v>
      </c>
      <c r="F23" s="47">
        <f t="shared" si="0"/>
        <v>51146.899999999994</v>
      </c>
      <c r="G23" s="47">
        <f t="shared" si="0"/>
        <v>-138.4</v>
      </c>
      <c r="H23" s="47">
        <f t="shared" si="0"/>
        <v>-4257.2</v>
      </c>
      <c r="I23" s="47">
        <f t="shared" si="0"/>
        <v>0</v>
      </c>
      <c r="J23" s="47">
        <f t="shared" si="0"/>
        <v>-5859</v>
      </c>
      <c r="K23" s="47">
        <f t="shared" si="0"/>
        <v>-5859</v>
      </c>
      <c r="L23" s="47">
        <f t="shared" si="0"/>
        <v>-10254.600000000002</v>
      </c>
      <c r="M23" s="47">
        <f t="shared" si="0"/>
        <v>40892.29999999999</v>
      </c>
      <c r="N23" s="47">
        <f t="shared" si="0"/>
        <v>-22391.399999999998</v>
      </c>
      <c r="O23" s="84">
        <f t="shared" si="0"/>
        <v>33392.099999999984</v>
      </c>
    </row>
    <row r="24" spans="1:15" ht="15.75" hidden="1">
      <c r="A24" s="80" t="s">
        <v>36</v>
      </c>
      <c r="B24" s="47">
        <f>SUM(B126:B137)</f>
        <v>9332.700000000004</v>
      </c>
      <c r="C24" s="47">
        <f aca="true" t="shared" si="1" ref="C24:O24">SUM(C126:C137)</f>
        <v>-27340.699999999997</v>
      </c>
      <c r="D24" s="47">
        <f t="shared" si="1"/>
        <v>20635.8</v>
      </c>
      <c r="E24" s="47">
        <f t="shared" si="1"/>
        <v>1502.5000000000002</v>
      </c>
      <c r="F24" s="47">
        <f t="shared" si="1"/>
        <v>-5202.4000000000015</v>
      </c>
      <c r="G24" s="47">
        <f t="shared" si="1"/>
        <v>-318.2</v>
      </c>
      <c r="H24" s="47">
        <f t="shared" si="1"/>
        <v>6360.4</v>
      </c>
      <c r="I24" s="47">
        <f t="shared" si="1"/>
        <v>0</v>
      </c>
      <c r="J24" s="47">
        <f t="shared" si="1"/>
        <v>4002.2000000000044</v>
      </c>
      <c r="K24" s="47">
        <f t="shared" si="1"/>
        <v>4002.2000000000044</v>
      </c>
      <c r="L24" s="47">
        <f t="shared" si="1"/>
        <v>10044.400000000009</v>
      </c>
      <c r="M24" s="47">
        <f t="shared" si="1"/>
        <v>4842</v>
      </c>
      <c r="N24" s="47">
        <f t="shared" si="1"/>
        <v>16562.000000000007</v>
      </c>
      <c r="O24" s="84">
        <f t="shared" si="1"/>
        <v>30736.70000000002</v>
      </c>
    </row>
    <row r="25" spans="1:15" ht="15" customHeight="1" hidden="1">
      <c r="A25" s="80" t="s">
        <v>42</v>
      </c>
      <c r="B25" s="47">
        <f>SUM(B139:B150)</f>
        <v>48526.2</v>
      </c>
      <c r="C25" s="47">
        <f aca="true" t="shared" si="2" ref="C25:O25">SUM(C139:C150)</f>
        <v>-11711.7</v>
      </c>
      <c r="D25" s="47">
        <f t="shared" si="2"/>
        <v>28193.499999999993</v>
      </c>
      <c r="E25" s="47">
        <f t="shared" si="2"/>
        <v>1806.3000000000004</v>
      </c>
      <c r="F25" s="47">
        <f t="shared" si="2"/>
        <v>18288.100000000006</v>
      </c>
      <c r="G25" s="47">
        <f t="shared" si="2"/>
        <v>833.8</v>
      </c>
      <c r="H25" s="47">
        <f t="shared" si="2"/>
        <v>12273.7</v>
      </c>
      <c r="I25" s="47">
        <f t="shared" si="2"/>
        <v>0</v>
      </c>
      <c r="J25" s="47">
        <f t="shared" si="2"/>
        <v>18.40000000000873</v>
      </c>
      <c r="K25" s="47">
        <f t="shared" si="2"/>
        <v>18.40000000000873</v>
      </c>
      <c r="L25" s="47">
        <f t="shared" si="2"/>
        <v>13125.900000000009</v>
      </c>
      <c r="M25" s="47">
        <f t="shared" si="2"/>
        <v>31413.999999999993</v>
      </c>
      <c r="N25" s="47">
        <f t="shared" si="2"/>
        <v>-49689.7</v>
      </c>
      <c r="O25" s="84">
        <f t="shared" si="2"/>
        <v>30250.500000000007</v>
      </c>
    </row>
    <row r="26" spans="1:15" s="5" customFormat="1" ht="15" customHeight="1" hidden="1">
      <c r="A26" s="82" t="s">
        <v>43</v>
      </c>
      <c r="B26" s="50">
        <f>SUM(B152:B163)</f>
        <v>77608.4279363391</v>
      </c>
      <c r="C26" s="50">
        <f aca="true" t="shared" si="3" ref="C26:O26">SUM(C152:C163)</f>
        <v>70283.6</v>
      </c>
      <c r="D26" s="50">
        <f t="shared" si="3"/>
        <v>8239.5</v>
      </c>
      <c r="E26" s="50">
        <f t="shared" si="3"/>
        <v>2659.7999999999997</v>
      </c>
      <c r="F26" s="50">
        <f t="shared" si="3"/>
        <v>81182.9</v>
      </c>
      <c r="G26" s="49">
        <f t="shared" si="3"/>
        <v>0</v>
      </c>
      <c r="H26" s="50">
        <f t="shared" si="3"/>
        <v>-7200</v>
      </c>
      <c r="I26" s="50">
        <f t="shared" si="3"/>
        <v>0</v>
      </c>
      <c r="J26" s="50">
        <f t="shared" si="3"/>
        <v>11812.599999999999</v>
      </c>
      <c r="K26" s="50">
        <f t="shared" si="3"/>
        <v>11812.599999999999</v>
      </c>
      <c r="L26" s="50">
        <f t="shared" si="3"/>
        <v>4612.600000000001</v>
      </c>
      <c r="M26" s="50">
        <f t="shared" si="3"/>
        <v>85795.49999999997</v>
      </c>
      <c r="N26" s="50">
        <f t="shared" si="3"/>
        <v>-40277.50000000001</v>
      </c>
      <c r="O26" s="111">
        <f t="shared" si="3"/>
        <v>123126.42793633908</v>
      </c>
    </row>
    <row r="27" spans="1:15" s="5" customFormat="1" ht="15" customHeight="1" hidden="1">
      <c r="A27" s="80" t="s">
        <v>45</v>
      </c>
      <c r="B27" s="50">
        <f>SUM(B165:B176)</f>
        <v>89758.8</v>
      </c>
      <c r="C27" s="50">
        <f aca="true" t="shared" si="4" ref="C27:O27">SUM(C165:C176)</f>
        <v>-7761.299999999996</v>
      </c>
      <c r="D27" s="50">
        <f t="shared" si="4"/>
        <v>37845.39753300001</v>
      </c>
      <c r="E27" s="50">
        <f t="shared" si="4"/>
        <v>3400.8999999999987</v>
      </c>
      <c r="F27" s="50">
        <f t="shared" si="4"/>
        <v>33484.99753300001</v>
      </c>
      <c r="G27" s="49">
        <f t="shared" si="4"/>
        <v>0</v>
      </c>
      <c r="H27" s="50">
        <f t="shared" si="4"/>
        <v>6166.700000000001</v>
      </c>
      <c r="I27" s="50">
        <f t="shared" si="4"/>
        <v>0</v>
      </c>
      <c r="J27" s="49">
        <f t="shared" si="4"/>
        <v>0</v>
      </c>
      <c r="K27" s="49">
        <f t="shared" si="4"/>
        <v>-0.020999999993364327</v>
      </c>
      <c r="L27" s="50">
        <f t="shared" si="4"/>
        <v>6166.679000000011</v>
      </c>
      <c r="M27" s="50">
        <f t="shared" si="4"/>
        <v>39651.67653300002</v>
      </c>
      <c r="N27" s="50">
        <f t="shared" si="4"/>
        <v>-87116.03320670809</v>
      </c>
      <c r="O27" s="111">
        <f t="shared" si="4"/>
        <v>42294.443326291905</v>
      </c>
    </row>
    <row r="28" spans="1:15" ht="15" customHeight="1" hidden="1">
      <c r="A28" s="80" t="s">
        <v>47</v>
      </c>
      <c r="B28" s="47">
        <f>SUM(B178:B189)</f>
        <v>54036.183791706</v>
      </c>
      <c r="C28" s="47">
        <f aca="true" t="shared" si="5" ref="C28:O28">SUM(C178:C189)</f>
        <v>82745.9</v>
      </c>
      <c r="D28" s="47">
        <f t="shared" si="5"/>
        <v>-26160.197533000013</v>
      </c>
      <c r="E28" s="47">
        <f t="shared" si="5"/>
        <v>144.20000000000073</v>
      </c>
      <c r="F28" s="47">
        <f t="shared" si="5"/>
        <v>56729.902466999985</v>
      </c>
      <c r="G28" s="49">
        <f t="shared" si="5"/>
        <v>0</v>
      </c>
      <c r="H28" s="47">
        <f t="shared" si="5"/>
        <v>18369.899999999998</v>
      </c>
      <c r="I28" s="47">
        <f t="shared" si="5"/>
        <v>0</v>
      </c>
      <c r="J28" s="47">
        <f t="shared" si="5"/>
        <v>21439.40799999991</v>
      </c>
      <c r="K28" s="47">
        <f t="shared" si="5"/>
        <v>21439.40799999991</v>
      </c>
      <c r="L28" s="47">
        <f t="shared" si="5"/>
        <v>39809.3079999999</v>
      </c>
      <c r="M28" s="47">
        <f t="shared" si="5"/>
        <v>96539.21046699988</v>
      </c>
      <c r="N28" s="47">
        <f t="shared" si="5"/>
        <v>-60502.421554923225</v>
      </c>
      <c r="O28" s="84">
        <f t="shared" si="5"/>
        <v>90072.97270378267</v>
      </c>
    </row>
    <row r="29" spans="1:15" ht="15.75" hidden="1">
      <c r="A29" s="80" t="s">
        <v>48</v>
      </c>
      <c r="B29" s="47">
        <f>SUM(B191:B202)</f>
        <v>99814.00671542977</v>
      </c>
      <c r="C29" s="47">
        <f aca="true" t="shared" si="6" ref="C29:O29">SUM(C191:C202)</f>
        <v>51339.50000000001</v>
      </c>
      <c r="D29" s="47">
        <f t="shared" si="6"/>
        <v>-36506.09999999999</v>
      </c>
      <c r="E29" s="47">
        <f t="shared" si="6"/>
        <v>-1803.8999999999996</v>
      </c>
      <c r="F29" s="47">
        <f t="shared" si="6"/>
        <v>13029.500000000015</v>
      </c>
      <c r="G29" s="49">
        <f t="shared" si="6"/>
        <v>0</v>
      </c>
      <c r="H29" s="47">
        <f t="shared" si="6"/>
        <v>21028.569000000003</v>
      </c>
      <c r="I29" s="47">
        <f t="shared" si="6"/>
        <v>0</v>
      </c>
      <c r="J29" s="47">
        <f t="shared" si="6"/>
        <v>67139.15124600008</v>
      </c>
      <c r="K29" s="47">
        <f t="shared" si="6"/>
        <v>67139.15124600008</v>
      </c>
      <c r="L29" s="47">
        <f t="shared" si="6"/>
        <v>88167.7202460001</v>
      </c>
      <c r="M29" s="47">
        <f t="shared" si="6"/>
        <v>101197.2202460001</v>
      </c>
      <c r="N29" s="47">
        <f t="shared" si="6"/>
        <v>-81258.16539017105</v>
      </c>
      <c r="O29" s="84">
        <f t="shared" si="6"/>
        <v>119753.06157125882</v>
      </c>
    </row>
    <row r="30" spans="1:15" ht="15.75">
      <c r="A30" s="80" t="s">
        <v>49</v>
      </c>
      <c r="B30" s="47">
        <f>SUM(B204:B215)</f>
        <v>4510.495752029328</v>
      </c>
      <c r="C30" s="47">
        <f aca="true" t="shared" si="7" ref="C30:N30">SUM(C204:C215)</f>
        <v>3378.9006880000525</v>
      </c>
      <c r="D30" s="47">
        <f t="shared" si="7"/>
        <v>40493.99999999999</v>
      </c>
      <c r="E30" s="47">
        <f t="shared" si="7"/>
        <v>2658.499999999998</v>
      </c>
      <c r="F30" s="47">
        <f t="shared" si="7"/>
        <v>46531.40068800005</v>
      </c>
      <c r="G30" s="47">
        <f t="shared" si="7"/>
        <v>-833.8</v>
      </c>
      <c r="H30" s="47">
        <f t="shared" si="7"/>
        <v>12158.800000000012</v>
      </c>
      <c r="I30" s="47">
        <f t="shared" si="7"/>
        <v>0</v>
      </c>
      <c r="J30" s="47">
        <f t="shared" si="7"/>
        <v>11644.8</v>
      </c>
      <c r="K30" s="47">
        <f t="shared" si="7"/>
        <v>49644.8</v>
      </c>
      <c r="L30" s="47">
        <f t="shared" si="7"/>
        <v>60969.80000000002</v>
      </c>
      <c r="M30" s="47">
        <f t="shared" si="7"/>
        <v>107501.20068800006</v>
      </c>
      <c r="N30" s="47">
        <f t="shared" si="7"/>
        <v>-643.9912119507726</v>
      </c>
      <c r="O30" s="84">
        <f>SUM(O204:O215)+0.2</f>
        <v>111367.9052280786</v>
      </c>
    </row>
    <row r="31" spans="1:15" ht="15.75">
      <c r="A31" s="80" t="s">
        <v>50</v>
      </c>
      <c r="B31" s="47">
        <f>SUM(B217:B228)</f>
        <v>60495</v>
      </c>
      <c r="C31" s="47">
        <f aca="true" t="shared" si="8" ref="C31:O31">SUM(C217:C228)</f>
        <v>69567.19999999998</v>
      </c>
      <c r="D31" s="47">
        <f t="shared" si="8"/>
        <v>77997.80000000002</v>
      </c>
      <c r="E31" s="47">
        <f t="shared" si="8"/>
        <v>-542</v>
      </c>
      <c r="F31" s="47">
        <f t="shared" si="8"/>
        <v>147022.99999999997</v>
      </c>
      <c r="G31" s="49">
        <f t="shared" si="8"/>
        <v>0</v>
      </c>
      <c r="H31" s="47">
        <f t="shared" si="8"/>
        <v>8123.380000000005</v>
      </c>
      <c r="I31" s="47">
        <f t="shared" si="8"/>
        <v>0</v>
      </c>
      <c r="J31" s="49">
        <f t="shared" si="8"/>
        <v>0</v>
      </c>
      <c r="K31" s="49">
        <f t="shared" si="8"/>
        <v>0</v>
      </c>
      <c r="L31" s="47">
        <f t="shared" si="8"/>
        <v>8123.380000000005</v>
      </c>
      <c r="M31" s="47">
        <f t="shared" si="8"/>
        <v>155146.38</v>
      </c>
      <c r="N31" s="47">
        <f t="shared" si="8"/>
        <v>-33395.854575201985</v>
      </c>
      <c r="O31" s="84">
        <f t="shared" si="8"/>
        <v>182245.525424798</v>
      </c>
    </row>
    <row r="32" spans="1:15" ht="15.75">
      <c r="A32" s="80" t="s">
        <v>51</v>
      </c>
      <c r="B32" s="47">
        <f>SUM(B230:B241)</f>
        <v>303.7691279999997</v>
      </c>
      <c r="C32" s="47">
        <f aca="true" t="shared" si="9" ref="C32:O32">SUM(C230:C241)</f>
        <v>218563.82602599997</v>
      </c>
      <c r="D32" s="47">
        <f t="shared" si="9"/>
        <v>122881.29999999999</v>
      </c>
      <c r="E32" s="47">
        <f t="shared" si="9"/>
        <v>94.29999999999927</v>
      </c>
      <c r="F32" s="47">
        <f t="shared" si="9"/>
        <v>341539.42602599994</v>
      </c>
      <c r="G32" s="49">
        <f t="shared" si="9"/>
        <v>0</v>
      </c>
      <c r="H32" s="47">
        <f t="shared" si="9"/>
        <v>29930.327187999996</v>
      </c>
      <c r="I32" s="47">
        <f t="shared" si="9"/>
        <v>0</v>
      </c>
      <c r="J32" s="49">
        <f t="shared" si="9"/>
        <v>0</v>
      </c>
      <c r="K32" s="49">
        <f t="shared" si="9"/>
        <v>0</v>
      </c>
      <c r="L32" s="47">
        <f t="shared" si="9"/>
        <v>29930.327187999996</v>
      </c>
      <c r="M32" s="47">
        <f t="shared" si="9"/>
        <v>371469.753214</v>
      </c>
      <c r="N32" s="47">
        <f t="shared" si="9"/>
        <v>-116583.30226369595</v>
      </c>
      <c r="O32" s="84">
        <f t="shared" si="9"/>
        <v>255190.22007830403</v>
      </c>
    </row>
    <row r="33" spans="1:15" ht="15.75">
      <c r="A33" s="80" t="s">
        <v>52</v>
      </c>
      <c r="B33" s="47">
        <f>SUM(B243:B254)</f>
        <v>17917.458497615844</v>
      </c>
      <c r="C33" s="47">
        <f aca="true" t="shared" si="10" ref="C33:O33">SUM(C243:C254)</f>
        <v>64618.96934200003</v>
      </c>
      <c r="D33" s="47">
        <f t="shared" si="10"/>
        <v>168106</v>
      </c>
      <c r="E33" s="47">
        <f t="shared" si="10"/>
        <v>677.3999999999996</v>
      </c>
      <c r="F33" s="47">
        <f t="shared" si="10"/>
        <v>233402.36934200005</v>
      </c>
      <c r="G33" s="49">
        <f t="shared" si="10"/>
        <v>0</v>
      </c>
      <c r="H33" s="47">
        <f t="shared" si="10"/>
        <v>35860.80000000002</v>
      </c>
      <c r="I33" s="47">
        <f t="shared" si="10"/>
        <v>0</v>
      </c>
      <c r="J33" s="49">
        <f t="shared" si="10"/>
        <v>0</v>
      </c>
      <c r="K33" s="49">
        <f t="shared" si="10"/>
        <v>0</v>
      </c>
      <c r="L33" s="47">
        <f t="shared" si="10"/>
        <v>35860.80000000002</v>
      </c>
      <c r="M33" s="47">
        <f t="shared" si="10"/>
        <v>269263.16934200004</v>
      </c>
      <c r="N33" s="47">
        <f t="shared" si="10"/>
        <v>-218.43226083960326</v>
      </c>
      <c r="O33" s="84">
        <f t="shared" si="10"/>
        <v>286962.1955787763</v>
      </c>
    </row>
    <row r="34" spans="1:15" ht="15.75">
      <c r="A34" s="80" t="s">
        <v>101</v>
      </c>
      <c r="B34" s="47">
        <f>SUM(B256:B267)</f>
        <v>-1825.9164439182298</v>
      </c>
      <c r="C34" s="47">
        <f aca="true" t="shared" si="11" ref="C34:O34">SUM(C256:C267)</f>
        <v>8500.499999999978</v>
      </c>
      <c r="D34" s="47">
        <f t="shared" si="11"/>
        <v>219218.89999999988</v>
      </c>
      <c r="E34" s="47">
        <f t="shared" si="11"/>
        <v>1062.800000000001</v>
      </c>
      <c r="F34" s="47">
        <f t="shared" si="11"/>
        <v>228782.19999999984</v>
      </c>
      <c r="G34" s="62">
        <f t="shared" si="11"/>
        <v>0</v>
      </c>
      <c r="H34" s="47">
        <f t="shared" si="11"/>
        <v>39607.599999999955</v>
      </c>
      <c r="I34" s="47">
        <f t="shared" si="11"/>
        <v>0</v>
      </c>
      <c r="J34" s="62">
        <f t="shared" si="11"/>
        <v>0</v>
      </c>
      <c r="K34" s="62">
        <f t="shared" si="11"/>
        <v>0</v>
      </c>
      <c r="L34" s="47">
        <f t="shared" si="11"/>
        <v>39607.599999999955</v>
      </c>
      <c r="M34" s="47">
        <f t="shared" si="11"/>
        <v>268389.7999999998</v>
      </c>
      <c r="N34" s="47">
        <f t="shared" si="11"/>
        <v>-24266.296306366952</v>
      </c>
      <c r="O34" s="47">
        <f t="shared" si="11"/>
        <v>242297.5872497146</v>
      </c>
    </row>
    <row r="35" spans="1:15" ht="15.75">
      <c r="A35" s="80"/>
      <c r="B35" s="47"/>
      <c r="C35" s="47"/>
      <c r="D35" s="47"/>
      <c r="E35" s="47"/>
      <c r="F35" s="45"/>
      <c r="G35" s="51"/>
      <c r="H35" s="47"/>
      <c r="I35" s="49"/>
      <c r="J35" s="49"/>
      <c r="K35" s="51"/>
      <c r="L35" s="45"/>
      <c r="M35" s="47"/>
      <c r="N35" s="47"/>
      <c r="O35" s="81"/>
    </row>
    <row r="36" spans="1:15" ht="15.75" hidden="1">
      <c r="A36" s="78" t="s">
        <v>83</v>
      </c>
      <c r="B36" s="47">
        <f>SUM(B100:B102)</f>
        <v>-417.79999999999995</v>
      </c>
      <c r="C36" s="47">
        <f aca="true" t="shared" si="12" ref="C36:O36">SUM(C100:C102)</f>
        <v>-1186.9</v>
      </c>
      <c r="D36" s="47">
        <f t="shared" si="12"/>
        <v>3916.1</v>
      </c>
      <c r="E36" s="47">
        <f t="shared" si="12"/>
        <v>-27.600000000000023</v>
      </c>
      <c r="F36" s="47">
        <f t="shared" si="12"/>
        <v>2701.5999999999995</v>
      </c>
      <c r="G36" s="47">
        <f t="shared" si="12"/>
        <v>-1150.9</v>
      </c>
      <c r="H36" s="47">
        <f t="shared" si="12"/>
        <v>-6749</v>
      </c>
      <c r="I36" s="47">
        <f t="shared" si="12"/>
        <v>0</v>
      </c>
      <c r="J36" s="47">
        <f t="shared" si="12"/>
        <v>0</v>
      </c>
      <c r="K36" s="47">
        <f t="shared" si="12"/>
        <v>0</v>
      </c>
      <c r="L36" s="47">
        <f t="shared" si="12"/>
        <v>-7899.900000000001</v>
      </c>
      <c r="M36" s="47">
        <f t="shared" si="12"/>
        <v>-5198.300000000001</v>
      </c>
      <c r="N36" s="47">
        <f t="shared" si="12"/>
        <v>-5771.799999999999</v>
      </c>
      <c r="O36" s="84">
        <f t="shared" si="12"/>
        <v>-11387.900000000001</v>
      </c>
    </row>
    <row r="37" spans="1:15" ht="15.75" hidden="1">
      <c r="A37" s="78" t="s">
        <v>59</v>
      </c>
      <c r="B37" s="47">
        <f>SUM(B103:B105)</f>
        <v>-458.80000000000007</v>
      </c>
      <c r="C37" s="47">
        <f aca="true" t="shared" si="13" ref="C37:O37">SUM(C103:C105)</f>
        <v>8557.8</v>
      </c>
      <c r="D37" s="47">
        <f t="shared" si="13"/>
        <v>1950.5000000000002</v>
      </c>
      <c r="E37" s="47">
        <f t="shared" si="13"/>
        <v>526.1999999999999</v>
      </c>
      <c r="F37" s="47">
        <f t="shared" si="13"/>
        <v>11034.500000000002</v>
      </c>
      <c r="G37" s="47">
        <f t="shared" si="13"/>
        <v>174.7</v>
      </c>
      <c r="H37" s="47">
        <f t="shared" si="13"/>
        <v>-1176.3000000000002</v>
      </c>
      <c r="I37" s="47">
        <f t="shared" si="13"/>
        <v>0</v>
      </c>
      <c r="J37" s="47">
        <f t="shared" si="13"/>
        <v>0</v>
      </c>
      <c r="K37" s="47">
        <f t="shared" si="13"/>
        <v>0</v>
      </c>
      <c r="L37" s="47">
        <f t="shared" si="13"/>
        <v>-1001.6000000000004</v>
      </c>
      <c r="M37" s="47">
        <f t="shared" si="13"/>
        <v>10032.900000000001</v>
      </c>
      <c r="N37" s="47">
        <f t="shared" si="13"/>
        <v>-2868.199999999999</v>
      </c>
      <c r="O37" s="84">
        <f t="shared" si="13"/>
        <v>6705.9000000000015</v>
      </c>
    </row>
    <row r="38" spans="1:15" ht="15.75" hidden="1">
      <c r="A38" s="78" t="s">
        <v>60</v>
      </c>
      <c r="B38" s="47">
        <f>SUM(B106:B108)</f>
        <v>11169</v>
      </c>
      <c r="C38" s="47">
        <f aca="true" t="shared" si="14" ref="C38:O38">SUM(C106:C108)</f>
        <v>3960.5999999999995</v>
      </c>
      <c r="D38" s="47">
        <f t="shared" si="14"/>
        <v>-3955.3</v>
      </c>
      <c r="E38" s="47">
        <f t="shared" si="14"/>
        <v>-247.50000000000006</v>
      </c>
      <c r="F38" s="47">
        <f t="shared" si="14"/>
        <v>-242.1999999999996</v>
      </c>
      <c r="G38" s="47">
        <f t="shared" si="14"/>
        <v>1172.3</v>
      </c>
      <c r="H38" s="47">
        <f t="shared" si="14"/>
        <v>363</v>
      </c>
      <c r="I38" s="47">
        <f t="shared" si="14"/>
        <v>0</v>
      </c>
      <c r="J38" s="47">
        <f t="shared" si="14"/>
        <v>0</v>
      </c>
      <c r="K38" s="47">
        <f t="shared" si="14"/>
        <v>0</v>
      </c>
      <c r="L38" s="47">
        <f t="shared" si="14"/>
        <v>1535.3</v>
      </c>
      <c r="M38" s="47">
        <f t="shared" si="14"/>
        <v>1293.1000000000004</v>
      </c>
      <c r="N38" s="47">
        <f t="shared" si="14"/>
        <v>3827.499999999999</v>
      </c>
      <c r="O38" s="84">
        <f t="shared" si="14"/>
        <v>16289.6</v>
      </c>
    </row>
    <row r="39" spans="1:15" ht="15.75" hidden="1">
      <c r="A39" s="78" t="s">
        <v>61</v>
      </c>
      <c r="B39" s="47">
        <f>SUM(B109:B111)</f>
        <v>3776.5</v>
      </c>
      <c r="C39" s="47">
        <f aca="true" t="shared" si="15" ref="C39:O39">SUM(C109:C111)</f>
        <v>-4272.4</v>
      </c>
      <c r="D39" s="47">
        <f t="shared" si="15"/>
        <v>6114.3</v>
      </c>
      <c r="E39" s="47">
        <f t="shared" si="15"/>
        <v>1030.3000000000002</v>
      </c>
      <c r="F39" s="47">
        <f t="shared" si="15"/>
        <v>2872.200000000002</v>
      </c>
      <c r="G39" s="47">
        <f t="shared" si="15"/>
        <v>-1347</v>
      </c>
      <c r="H39" s="47">
        <f t="shared" si="15"/>
        <v>-1516.1</v>
      </c>
      <c r="I39" s="47">
        <f t="shared" si="15"/>
        <v>0</v>
      </c>
      <c r="J39" s="47">
        <f t="shared" si="15"/>
        <v>-100</v>
      </c>
      <c r="K39" s="47">
        <f t="shared" si="15"/>
        <v>-100</v>
      </c>
      <c r="L39" s="47">
        <f t="shared" si="15"/>
        <v>-2963.1</v>
      </c>
      <c r="M39" s="47">
        <f t="shared" si="15"/>
        <v>-90.89999999999827</v>
      </c>
      <c r="N39" s="47">
        <f t="shared" si="15"/>
        <v>13246.900000000001</v>
      </c>
      <c r="O39" s="84">
        <f t="shared" si="15"/>
        <v>16932.5</v>
      </c>
    </row>
    <row r="40" spans="1:15" ht="15.75" hidden="1">
      <c r="A40" s="80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84"/>
    </row>
    <row r="41" spans="1:15" ht="15.75" hidden="1">
      <c r="A41" s="78" t="s">
        <v>84</v>
      </c>
      <c r="B41" s="47">
        <f>SUM(B113:B115)</f>
        <v>1079.4</v>
      </c>
      <c r="C41" s="47">
        <f aca="true" t="shared" si="16" ref="C41:O41">SUM(C113:C115)</f>
        <v>9216.399999999998</v>
      </c>
      <c r="D41" s="47">
        <f t="shared" si="16"/>
        <v>-4747.9</v>
      </c>
      <c r="E41" s="47">
        <f t="shared" si="16"/>
        <v>-1024.6000000000001</v>
      </c>
      <c r="F41" s="47">
        <f t="shared" si="16"/>
        <v>3443.899999999998</v>
      </c>
      <c r="G41" s="47">
        <f t="shared" si="16"/>
        <v>-456.6</v>
      </c>
      <c r="H41" s="47">
        <f t="shared" si="16"/>
        <v>-410.20000000000005</v>
      </c>
      <c r="I41" s="47">
        <f t="shared" si="16"/>
        <v>0</v>
      </c>
      <c r="J41" s="47">
        <f t="shared" si="16"/>
        <v>-2919.1</v>
      </c>
      <c r="K41" s="47">
        <f t="shared" si="16"/>
        <v>-2919.1</v>
      </c>
      <c r="L41" s="47">
        <f t="shared" si="16"/>
        <v>-3785.900000000001</v>
      </c>
      <c r="M41" s="47">
        <f t="shared" si="16"/>
        <v>-342.00000000000364</v>
      </c>
      <c r="N41" s="47">
        <f t="shared" si="16"/>
        <v>20543</v>
      </c>
      <c r="O41" s="84">
        <f t="shared" si="16"/>
        <v>21280.399999999994</v>
      </c>
    </row>
    <row r="42" spans="1:15" ht="15.75" hidden="1">
      <c r="A42" s="78" t="s">
        <v>59</v>
      </c>
      <c r="B42" s="47">
        <f>SUM(B116:B118)</f>
        <v>6308.9</v>
      </c>
      <c r="C42" s="47">
        <f aca="true" t="shared" si="17" ref="C42:O42">SUM(C116:C118)</f>
        <v>10160.1</v>
      </c>
      <c r="D42" s="47">
        <f t="shared" si="17"/>
        <v>-511.7999999999997</v>
      </c>
      <c r="E42" s="47">
        <f t="shared" si="17"/>
        <v>1486.4</v>
      </c>
      <c r="F42" s="47">
        <f t="shared" si="17"/>
        <v>11134.699999999999</v>
      </c>
      <c r="G42" s="47">
        <f t="shared" si="17"/>
        <v>119.39999999999999</v>
      </c>
      <c r="H42" s="47">
        <f t="shared" si="17"/>
        <v>-1850.8000000000002</v>
      </c>
      <c r="I42" s="47">
        <f t="shared" si="17"/>
        <v>0</v>
      </c>
      <c r="J42" s="47">
        <f t="shared" si="17"/>
        <v>4271.7</v>
      </c>
      <c r="K42" s="47">
        <f t="shared" si="17"/>
        <v>4271.7</v>
      </c>
      <c r="L42" s="47">
        <f t="shared" si="17"/>
        <v>2540.2999999999997</v>
      </c>
      <c r="M42" s="47">
        <f t="shared" si="17"/>
        <v>13675</v>
      </c>
      <c r="N42" s="47">
        <f t="shared" si="17"/>
        <v>-7976.299999999999</v>
      </c>
      <c r="O42" s="84">
        <f t="shared" si="17"/>
        <v>12007.600000000002</v>
      </c>
    </row>
    <row r="43" spans="1:15" ht="15.75" hidden="1">
      <c r="A43" s="78" t="s">
        <v>60</v>
      </c>
      <c r="B43" s="47">
        <f>SUM(B119:B121)</f>
        <v>5211</v>
      </c>
      <c r="C43" s="47">
        <f aca="true" t="shared" si="18" ref="C43:O43">SUM(C119:C121)</f>
        <v>19214.8</v>
      </c>
      <c r="D43" s="47">
        <f t="shared" si="18"/>
        <v>-7961</v>
      </c>
      <c r="E43" s="47">
        <f t="shared" si="18"/>
        <v>-1258.1000000000004</v>
      </c>
      <c r="F43" s="47">
        <f t="shared" si="18"/>
        <v>9995.699999999997</v>
      </c>
      <c r="G43" s="47">
        <f t="shared" si="18"/>
        <v>198.8</v>
      </c>
      <c r="H43" s="47">
        <f t="shared" si="18"/>
        <v>-1747</v>
      </c>
      <c r="I43" s="47">
        <f t="shared" si="18"/>
        <v>0</v>
      </c>
      <c r="J43" s="47">
        <f t="shared" si="18"/>
        <v>12234.5</v>
      </c>
      <c r="K43" s="47">
        <f t="shared" si="18"/>
        <v>12234.5</v>
      </c>
      <c r="L43" s="47">
        <f t="shared" si="18"/>
        <v>10686.3</v>
      </c>
      <c r="M43" s="47">
        <f t="shared" si="18"/>
        <v>20681.999999999996</v>
      </c>
      <c r="N43" s="47">
        <f t="shared" si="18"/>
        <v>6698.400000000001</v>
      </c>
      <c r="O43" s="84">
        <f t="shared" si="18"/>
        <v>32591.4</v>
      </c>
    </row>
    <row r="44" spans="1:15" ht="15.75" hidden="1">
      <c r="A44" s="78" t="s">
        <v>61</v>
      </c>
      <c r="B44" s="47">
        <f>SUM(B122:B124)</f>
        <v>2291.8999999999996</v>
      </c>
      <c r="C44" s="47">
        <f aca="true" t="shared" si="19" ref="C44:O44">SUM(C122:C124)</f>
        <v>19939.4</v>
      </c>
      <c r="D44" s="47">
        <f t="shared" si="19"/>
        <v>5567</v>
      </c>
      <c r="E44" s="47">
        <f t="shared" si="19"/>
        <v>1066.2000000000003</v>
      </c>
      <c r="F44" s="47">
        <f t="shared" si="19"/>
        <v>26572.6</v>
      </c>
      <c r="G44" s="47">
        <f t="shared" si="19"/>
        <v>0</v>
      </c>
      <c r="H44" s="47">
        <f t="shared" si="19"/>
        <v>-249.2</v>
      </c>
      <c r="I44" s="47">
        <f t="shared" si="19"/>
        <v>0</v>
      </c>
      <c r="J44" s="47">
        <f t="shared" si="19"/>
        <v>-19446.1</v>
      </c>
      <c r="K44" s="47">
        <f t="shared" si="19"/>
        <v>-19446.1</v>
      </c>
      <c r="L44" s="47">
        <f t="shared" si="19"/>
        <v>-19695.300000000003</v>
      </c>
      <c r="M44" s="47">
        <f t="shared" si="19"/>
        <v>6877.299999999996</v>
      </c>
      <c r="N44" s="47">
        <f t="shared" si="19"/>
        <v>-41656.5</v>
      </c>
      <c r="O44" s="84">
        <f t="shared" si="19"/>
        <v>-32487.300000000007</v>
      </c>
    </row>
    <row r="45" spans="1:15" ht="15.75" hidden="1">
      <c r="A45" s="80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84"/>
    </row>
    <row r="46" spans="1:15" ht="15.75" hidden="1">
      <c r="A46" s="78" t="s">
        <v>82</v>
      </c>
      <c r="B46" s="47">
        <f>SUM(B126:B128)</f>
        <v>20152.4</v>
      </c>
      <c r="C46" s="47">
        <f aca="true" t="shared" si="20" ref="C46:O46">SUM(C126:C128)</f>
        <v>-41568.2</v>
      </c>
      <c r="D46" s="47">
        <f t="shared" si="20"/>
        <v>19546.1</v>
      </c>
      <c r="E46" s="47">
        <f t="shared" si="20"/>
        <v>-51.10000000000001</v>
      </c>
      <c r="F46" s="47">
        <f t="shared" si="20"/>
        <v>-22073.199999999997</v>
      </c>
      <c r="G46" s="47">
        <f t="shared" si="20"/>
        <v>-24.5</v>
      </c>
      <c r="H46" s="47">
        <f t="shared" si="20"/>
        <v>-3267.7</v>
      </c>
      <c r="I46" s="47">
        <f t="shared" si="20"/>
        <v>0</v>
      </c>
      <c r="J46" s="47">
        <f t="shared" si="20"/>
        <v>5867.599999999999</v>
      </c>
      <c r="K46" s="47">
        <f t="shared" si="20"/>
        <v>5867.599999999999</v>
      </c>
      <c r="L46" s="47">
        <f t="shared" si="20"/>
        <v>2575.4000000000015</v>
      </c>
      <c r="M46" s="47">
        <f t="shared" si="20"/>
        <v>-19497.799999999996</v>
      </c>
      <c r="N46" s="47">
        <f t="shared" si="20"/>
        <v>17377.1</v>
      </c>
      <c r="O46" s="84">
        <f t="shared" si="20"/>
        <v>18031.700000000004</v>
      </c>
    </row>
    <row r="47" spans="1:15" ht="15.75" hidden="1">
      <c r="A47" s="78" t="s">
        <v>59</v>
      </c>
      <c r="B47" s="47">
        <f>SUM(B129:B131)</f>
        <v>12458.3</v>
      </c>
      <c r="C47" s="47">
        <f aca="true" t="shared" si="21" ref="C47:O47">SUM(C129:C131)</f>
        <v>21348.7</v>
      </c>
      <c r="D47" s="47">
        <f t="shared" si="21"/>
        <v>14447.6</v>
      </c>
      <c r="E47" s="47">
        <f t="shared" si="21"/>
        <v>1457.4</v>
      </c>
      <c r="F47" s="47">
        <f t="shared" si="21"/>
        <v>37253.7</v>
      </c>
      <c r="G47" s="47">
        <f t="shared" si="21"/>
        <v>0</v>
      </c>
      <c r="H47" s="47">
        <f t="shared" si="21"/>
        <v>3620.2</v>
      </c>
      <c r="I47" s="47">
        <f t="shared" si="21"/>
        <v>0</v>
      </c>
      <c r="J47" s="47">
        <f t="shared" si="21"/>
        <v>11129.7</v>
      </c>
      <c r="K47" s="47">
        <f t="shared" si="21"/>
        <v>11129.7</v>
      </c>
      <c r="L47" s="47">
        <f t="shared" si="21"/>
        <v>14749.9</v>
      </c>
      <c r="M47" s="47">
        <f t="shared" si="21"/>
        <v>52003.6</v>
      </c>
      <c r="N47" s="47">
        <f t="shared" si="21"/>
        <v>-42561.5</v>
      </c>
      <c r="O47" s="84">
        <f t="shared" si="21"/>
        <v>21900.399999999998</v>
      </c>
    </row>
    <row r="48" spans="1:15" ht="15.75" hidden="1">
      <c r="A48" s="78" t="s">
        <v>60</v>
      </c>
      <c r="B48" s="47">
        <f>SUM(B132:B134)</f>
        <v>21989.399999999998</v>
      </c>
      <c r="C48" s="47">
        <f aca="true" t="shared" si="22" ref="C48:O48">SUM(C132:C134)</f>
        <v>5675.099999999999</v>
      </c>
      <c r="D48" s="47">
        <f t="shared" si="22"/>
        <v>-11588.399999999998</v>
      </c>
      <c r="E48" s="47">
        <f t="shared" si="22"/>
        <v>-1067.1</v>
      </c>
      <c r="F48" s="47">
        <f t="shared" si="22"/>
        <v>-6980.399999999999</v>
      </c>
      <c r="G48" s="47">
        <f t="shared" si="22"/>
        <v>0</v>
      </c>
      <c r="H48" s="47">
        <f t="shared" si="22"/>
        <v>3591.2000000000003</v>
      </c>
      <c r="I48" s="47">
        <f t="shared" si="22"/>
        <v>0</v>
      </c>
      <c r="J48" s="47">
        <f t="shared" si="22"/>
        <v>6686.800000000001</v>
      </c>
      <c r="K48" s="47">
        <f t="shared" si="22"/>
        <v>6686.800000000001</v>
      </c>
      <c r="L48" s="47">
        <f t="shared" si="22"/>
        <v>10278.000000000002</v>
      </c>
      <c r="M48" s="47">
        <f t="shared" si="22"/>
        <v>3297.600000000002</v>
      </c>
      <c r="N48" s="47">
        <f t="shared" si="22"/>
        <v>-8246.100000000002</v>
      </c>
      <c r="O48" s="84">
        <f t="shared" si="22"/>
        <v>17040.9</v>
      </c>
    </row>
    <row r="49" spans="1:15" ht="15.75" hidden="1">
      <c r="A49" s="78" t="s">
        <v>61</v>
      </c>
      <c r="B49" s="47">
        <f>SUM(B135:B137)</f>
        <v>-45267.4</v>
      </c>
      <c r="C49" s="47">
        <f aca="true" t="shared" si="23" ref="C49:O49">SUM(C135:C137)</f>
        <v>-12796.3</v>
      </c>
      <c r="D49" s="47">
        <f t="shared" si="23"/>
        <v>-1769.500000000001</v>
      </c>
      <c r="E49" s="47">
        <f t="shared" si="23"/>
        <v>1163.3</v>
      </c>
      <c r="F49" s="47">
        <f t="shared" si="23"/>
        <v>-13402.500000000007</v>
      </c>
      <c r="G49" s="47">
        <f t="shared" si="23"/>
        <v>-293.7</v>
      </c>
      <c r="H49" s="47">
        <f t="shared" si="23"/>
        <v>2416.7000000000003</v>
      </c>
      <c r="I49" s="47">
        <f t="shared" si="23"/>
        <v>0</v>
      </c>
      <c r="J49" s="47">
        <f t="shared" si="23"/>
        <v>-19681.899999999998</v>
      </c>
      <c r="K49" s="47">
        <f t="shared" si="23"/>
        <v>-19681.899999999998</v>
      </c>
      <c r="L49" s="47">
        <f t="shared" si="23"/>
        <v>-17558.899999999998</v>
      </c>
      <c r="M49" s="47">
        <f t="shared" si="23"/>
        <v>-30961.4</v>
      </c>
      <c r="N49" s="47">
        <f t="shared" si="23"/>
        <v>49992.5</v>
      </c>
      <c r="O49" s="84">
        <f t="shared" si="23"/>
        <v>-26236.299999999996</v>
      </c>
    </row>
    <row r="50" spans="1:15" ht="15.75" hidden="1">
      <c r="A50" s="80"/>
      <c r="B50" s="47"/>
      <c r="C50" s="47"/>
      <c r="D50" s="47"/>
      <c r="E50" s="47"/>
      <c r="F50" s="47"/>
      <c r="G50" s="51"/>
      <c r="H50" s="47"/>
      <c r="I50" s="49"/>
      <c r="J50" s="47"/>
      <c r="K50" s="47"/>
      <c r="L50" s="47"/>
      <c r="M50" s="47"/>
      <c r="N50" s="47"/>
      <c r="O50" s="84"/>
    </row>
    <row r="51" spans="1:15" ht="15.75" hidden="1">
      <c r="A51" s="78" t="s">
        <v>81</v>
      </c>
      <c r="B51" s="47">
        <f>SUM(B76:B79)</f>
        <v>4510.495752029329</v>
      </c>
      <c r="C51" s="47">
        <f aca="true" t="shared" si="24" ref="C51:O51">SUM(C76:C79)</f>
        <v>3378.9006880000525</v>
      </c>
      <c r="D51" s="47">
        <f t="shared" si="24"/>
        <v>40494</v>
      </c>
      <c r="E51" s="47">
        <f t="shared" si="24"/>
        <v>2658.499999999998</v>
      </c>
      <c r="F51" s="47">
        <f t="shared" si="24"/>
        <v>46531.40068800005</v>
      </c>
      <c r="G51" s="47">
        <f t="shared" si="24"/>
        <v>-833.8</v>
      </c>
      <c r="H51" s="47">
        <f t="shared" si="24"/>
        <v>12158.80000000001</v>
      </c>
      <c r="I51" s="62">
        <f t="shared" si="24"/>
        <v>0</v>
      </c>
      <c r="J51" s="62">
        <f t="shared" si="24"/>
        <v>11644.8</v>
      </c>
      <c r="K51" s="62">
        <f t="shared" si="24"/>
        <v>49644.8</v>
      </c>
      <c r="L51" s="47">
        <f t="shared" si="24"/>
        <v>60969.80000000002</v>
      </c>
      <c r="M51" s="47">
        <f t="shared" si="24"/>
        <v>107501.20068800007</v>
      </c>
      <c r="N51" s="47">
        <f t="shared" si="24"/>
        <v>-643.9912119507717</v>
      </c>
      <c r="O51" s="84">
        <f t="shared" si="24"/>
        <v>111367.70522807862</v>
      </c>
    </row>
    <row r="52" spans="1:15" ht="15.75" hidden="1">
      <c r="A52" s="78" t="s">
        <v>59</v>
      </c>
      <c r="B52" s="47">
        <f>SUM(B217:B228)</f>
        <v>60495</v>
      </c>
      <c r="C52" s="47">
        <f aca="true" t="shared" si="25" ref="C52:O52">SUM(C217:C228)</f>
        <v>69567.19999999998</v>
      </c>
      <c r="D52" s="47">
        <f t="shared" si="25"/>
        <v>77997.80000000002</v>
      </c>
      <c r="E52" s="47">
        <f t="shared" si="25"/>
        <v>-542</v>
      </c>
      <c r="F52" s="47">
        <f t="shared" si="25"/>
        <v>147022.99999999997</v>
      </c>
      <c r="G52" s="51">
        <f>SUM(G85:G204)</f>
        <v>-1280.5</v>
      </c>
      <c r="H52" s="47">
        <f t="shared" si="25"/>
        <v>8123.380000000005</v>
      </c>
      <c r="I52" s="62">
        <f>SUM(I77:I79)</f>
        <v>0</v>
      </c>
      <c r="J52" s="62">
        <f t="shared" si="25"/>
        <v>0</v>
      </c>
      <c r="K52" s="62">
        <f t="shared" si="25"/>
        <v>0</v>
      </c>
      <c r="L52" s="47">
        <f>SUM(L217:L228)</f>
        <v>8123.380000000005</v>
      </c>
      <c r="M52" s="47">
        <f t="shared" si="25"/>
        <v>155146.38</v>
      </c>
      <c r="N52" s="47">
        <f t="shared" si="25"/>
        <v>-33395.854575201985</v>
      </c>
      <c r="O52" s="84">
        <f t="shared" si="25"/>
        <v>182245.525424798</v>
      </c>
    </row>
    <row r="53" spans="1:15" ht="15.75" hidden="1">
      <c r="A53" s="78" t="s">
        <v>60</v>
      </c>
      <c r="B53" s="47">
        <f>SUM(B230:B241)</f>
        <v>303.7691279999997</v>
      </c>
      <c r="C53" s="47">
        <f aca="true" t="shared" si="26" ref="C53:O53">SUM(C230:C241)</f>
        <v>218563.82602599997</v>
      </c>
      <c r="D53" s="47">
        <f t="shared" si="26"/>
        <v>122881.29999999999</v>
      </c>
      <c r="E53" s="51">
        <f t="shared" si="26"/>
        <v>94.29999999999927</v>
      </c>
      <c r="F53" s="47">
        <f t="shared" si="26"/>
        <v>341539.42602599994</v>
      </c>
      <c r="G53" s="51">
        <f t="shared" si="26"/>
        <v>0</v>
      </c>
      <c r="H53" s="47">
        <f t="shared" si="26"/>
        <v>29930.327187999996</v>
      </c>
      <c r="I53" s="51">
        <f t="shared" si="26"/>
        <v>0</v>
      </c>
      <c r="J53" s="62">
        <f t="shared" si="26"/>
        <v>0</v>
      </c>
      <c r="K53" s="62">
        <f t="shared" si="26"/>
        <v>0</v>
      </c>
      <c r="L53" s="47">
        <f t="shared" si="26"/>
        <v>29930.327187999996</v>
      </c>
      <c r="M53" s="47">
        <f t="shared" si="26"/>
        <v>371469.753214</v>
      </c>
      <c r="N53" s="47">
        <f t="shared" si="26"/>
        <v>-116583.30226369595</v>
      </c>
      <c r="O53" s="84">
        <f t="shared" si="26"/>
        <v>255190.22007830403</v>
      </c>
    </row>
    <row r="54" spans="1:15" ht="15.75" hidden="1">
      <c r="A54" s="78" t="s">
        <v>61</v>
      </c>
      <c r="B54" s="47">
        <f>SUM(B243:B254)</f>
        <v>17917.458497615844</v>
      </c>
      <c r="C54" s="47">
        <f aca="true" t="shared" si="27" ref="C54:O54">SUM(C243:C254)</f>
        <v>64618.96934200003</v>
      </c>
      <c r="D54" s="47">
        <f t="shared" si="27"/>
        <v>168106</v>
      </c>
      <c r="E54" s="47">
        <f t="shared" si="27"/>
        <v>677.3999999999996</v>
      </c>
      <c r="F54" s="47">
        <f t="shared" si="27"/>
        <v>233402.36934200005</v>
      </c>
      <c r="G54" s="51">
        <f t="shared" si="27"/>
        <v>0</v>
      </c>
      <c r="H54" s="47">
        <f t="shared" si="27"/>
        <v>35860.80000000002</v>
      </c>
      <c r="I54" s="47">
        <f t="shared" si="27"/>
        <v>0</v>
      </c>
      <c r="J54" s="62">
        <f t="shared" si="27"/>
        <v>0</v>
      </c>
      <c r="K54" s="62">
        <f t="shared" si="27"/>
        <v>0</v>
      </c>
      <c r="L54" s="47">
        <f t="shared" si="27"/>
        <v>35860.80000000002</v>
      </c>
      <c r="M54" s="47">
        <f t="shared" si="27"/>
        <v>269263.16934200004</v>
      </c>
      <c r="N54" s="47">
        <f t="shared" si="27"/>
        <v>-218.43226083960326</v>
      </c>
      <c r="O54" s="84">
        <f t="shared" si="27"/>
        <v>286962.1955787763</v>
      </c>
    </row>
    <row r="55" spans="1:15" ht="15.75" hidden="1">
      <c r="A55" s="80"/>
      <c r="B55" s="47"/>
      <c r="C55" s="47"/>
      <c r="D55" s="47"/>
      <c r="E55" s="47"/>
      <c r="F55" s="47"/>
      <c r="G55" s="51"/>
      <c r="H55" s="47"/>
      <c r="I55" s="51"/>
      <c r="J55" s="49"/>
      <c r="K55" s="51"/>
      <c r="L55" s="47"/>
      <c r="M55" s="47"/>
      <c r="N55" s="47"/>
      <c r="O55" s="83"/>
    </row>
    <row r="56" spans="1:15" ht="15.75" hidden="1">
      <c r="A56" s="78" t="s">
        <v>41</v>
      </c>
      <c r="B56" s="47">
        <f>SUM(B152:B154)</f>
        <v>17254</v>
      </c>
      <c r="C56" s="47">
        <f aca="true" t="shared" si="28" ref="C56:O56">SUM(C152:C154)</f>
        <v>-12371.7</v>
      </c>
      <c r="D56" s="47">
        <f t="shared" si="28"/>
        <v>6327.5</v>
      </c>
      <c r="E56" s="47">
        <f t="shared" si="28"/>
        <v>-2311.4</v>
      </c>
      <c r="F56" s="47">
        <f t="shared" si="28"/>
        <v>-8355.600000000002</v>
      </c>
      <c r="G56" s="51">
        <f t="shared" si="28"/>
        <v>0</v>
      </c>
      <c r="H56" s="47">
        <f t="shared" si="28"/>
        <v>-3200</v>
      </c>
      <c r="I56" s="47">
        <f t="shared" si="28"/>
        <v>0</v>
      </c>
      <c r="J56" s="47">
        <f t="shared" si="28"/>
        <v>9796.3</v>
      </c>
      <c r="K56" s="47">
        <f t="shared" si="28"/>
        <v>9796.3</v>
      </c>
      <c r="L56" s="47">
        <f t="shared" si="28"/>
        <v>6596.3</v>
      </c>
      <c r="M56" s="47">
        <f t="shared" si="28"/>
        <v>-1759.2999999999993</v>
      </c>
      <c r="N56" s="47">
        <f t="shared" si="28"/>
        <v>-6812.800000000001</v>
      </c>
      <c r="O56" s="84">
        <f t="shared" si="28"/>
        <v>8681.899999999998</v>
      </c>
    </row>
    <row r="57" spans="1:15" ht="15.75" hidden="1">
      <c r="A57" s="78" t="s">
        <v>59</v>
      </c>
      <c r="B57" s="47">
        <f>SUM(B155:B157)</f>
        <v>32135.4</v>
      </c>
      <c r="C57" s="47">
        <f aca="true" t="shared" si="29" ref="C57:O57">SUM(C155:C157)</f>
        <v>4629.200000000001</v>
      </c>
      <c r="D57" s="47">
        <f t="shared" si="29"/>
        <v>9424.2</v>
      </c>
      <c r="E57" s="47">
        <f t="shared" si="29"/>
        <v>2059.4</v>
      </c>
      <c r="F57" s="47">
        <f t="shared" si="29"/>
        <v>16112.799999999996</v>
      </c>
      <c r="G57" s="51">
        <f t="shared" si="29"/>
        <v>0</v>
      </c>
      <c r="H57" s="47">
        <f t="shared" si="29"/>
        <v>-300</v>
      </c>
      <c r="I57" s="47">
        <f t="shared" si="29"/>
        <v>0</v>
      </c>
      <c r="J57" s="47">
        <f t="shared" si="29"/>
        <v>-6227.799999999999</v>
      </c>
      <c r="K57" s="47">
        <f t="shared" si="29"/>
        <v>-6227.799999999999</v>
      </c>
      <c r="L57" s="47">
        <f t="shared" si="29"/>
        <v>-6527.799999999999</v>
      </c>
      <c r="M57" s="47">
        <f t="shared" si="29"/>
        <v>9584.999999999993</v>
      </c>
      <c r="N57" s="47">
        <f t="shared" si="29"/>
        <v>-9307.899999999998</v>
      </c>
      <c r="O57" s="84">
        <f t="shared" si="29"/>
        <v>32412.499999999996</v>
      </c>
    </row>
    <row r="58" spans="1:15" ht="15.75" hidden="1">
      <c r="A58" s="78" t="s">
        <v>60</v>
      </c>
      <c r="B58" s="47">
        <f>SUM(B158:B160)</f>
        <v>27257.4</v>
      </c>
      <c r="C58" s="47">
        <f aca="true" t="shared" si="30" ref="C58:O58">SUM(C158:C160)</f>
        <v>2788.7999999999993</v>
      </c>
      <c r="D58" s="47">
        <f t="shared" si="30"/>
        <v>5134.299999999999</v>
      </c>
      <c r="E58" s="47">
        <f t="shared" si="30"/>
        <v>-2241.4</v>
      </c>
      <c r="F58" s="47">
        <f t="shared" si="30"/>
        <v>5681.699999999999</v>
      </c>
      <c r="G58" s="51">
        <f t="shared" si="30"/>
        <v>0</v>
      </c>
      <c r="H58" s="47">
        <f t="shared" si="30"/>
        <v>1100</v>
      </c>
      <c r="I58" s="47">
        <f t="shared" si="30"/>
        <v>0</v>
      </c>
      <c r="J58" s="47">
        <f t="shared" si="30"/>
        <v>4939.6</v>
      </c>
      <c r="K58" s="47">
        <f t="shared" si="30"/>
        <v>4939.6</v>
      </c>
      <c r="L58" s="47">
        <f t="shared" si="30"/>
        <v>6039.599999999999</v>
      </c>
      <c r="M58" s="47">
        <f t="shared" si="30"/>
        <v>11721.299999999996</v>
      </c>
      <c r="N58" s="47">
        <f t="shared" si="30"/>
        <v>-20883.9</v>
      </c>
      <c r="O58" s="84">
        <f t="shared" si="30"/>
        <v>18094.800000000003</v>
      </c>
    </row>
    <row r="59" spans="1:15" ht="15.75" hidden="1">
      <c r="A59" s="78" t="s">
        <v>61</v>
      </c>
      <c r="B59" s="47">
        <f>SUM(B161:B163)</f>
        <v>961.6279363390966</v>
      </c>
      <c r="C59" s="47">
        <f aca="true" t="shared" si="31" ref="C59:O59">SUM(C161:C163)</f>
        <v>75237.29999999999</v>
      </c>
      <c r="D59" s="47">
        <f t="shared" si="31"/>
        <v>-12646.5</v>
      </c>
      <c r="E59" s="47">
        <f t="shared" si="31"/>
        <v>5153.2</v>
      </c>
      <c r="F59" s="47">
        <f t="shared" si="31"/>
        <v>67744</v>
      </c>
      <c r="G59" s="51">
        <f t="shared" si="31"/>
        <v>0</v>
      </c>
      <c r="H59" s="47">
        <f t="shared" si="31"/>
        <v>-4800</v>
      </c>
      <c r="I59" s="47">
        <f t="shared" si="31"/>
        <v>0</v>
      </c>
      <c r="J59" s="47">
        <f t="shared" si="31"/>
        <v>3304.499999999999</v>
      </c>
      <c r="K59" s="47">
        <f t="shared" si="31"/>
        <v>3304.499999999999</v>
      </c>
      <c r="L59" s="47">
        <f t="shared" si="31"/>
        <v>-1495.5</v>
      </c>
      <c r="M59" s="47">
        <f t="shared" si="31"/>
        <v>66248.5</v>
      </c>
      <c r="N59" s="47">
        <f t="shared" si="31"/>
        <v>-3272.8999999999996</v>
      </c>
      <c r="O59" s="84">
        <f t="shared" si="31"/>
        <v>63937.22793633909</v>
      </c>
    </row>
    <row r="60" spans="1:15" ht="15.75" hidden="1">
      <c r="A60" s="78"/>
      <c r="B60" s="47"/>
      <c r="C60" s="47"/>
      <c r="D60" s="47"/>
      <c r="E60" s="47"/>
      <c r="F60" s="47"/>
      <c r="G60" s="51"/>
      <c r="H60" s="47"/>
      <c r="I60" s="47"/>
      <c r="J60" s="47"/>
      <c r="K60" s="47"/>
      <c r="L60" s="47"/>
      <c r="M60" s="47"/>
      <c r="N60" s="47"/>
      <c r="O60" s="84"/>
    </row>
    <row r="61" spans="1:15" ht="15.75" hidden="1">
      <c r="A61" s="78" t="s">
        <v>57</v>
      </c>
      <c r="B61" s="47">
        <f>SUM(B165:B167)</f>
        <v>14086.180310928681</v>
      </c>
      <c r="C61" s="47">
        <f aca="true" t="shared" si="32" ref="C61:O61">SUM(C165:C167)</f>
        <v>-40151.8</v>
      </c>
      <c r="D61" s="47">
        <f t="shared" si="32"/>
        <v>11523.400000000001</v>
      </c>
      <c r="E61" s="47">
        <f t="shared" si="32"/>
        <v>-2516.3</v>
      </c>
      <c r="F61" s="47">
        <f t="shared" si="32"/>
        <v>-31144.699999999997</v>
      </c>
      <c r="G61" s="51">
        <f t="shared" si="32"/>
        <v>0</v>
      </c>
      <c r="H61" s="47">
        <f t="shared" si="32"/>
        <v>-3400</v>
      </c>
      <c r="I61" s="47">
        <f t="shared" si="32"/>
        <v>0</v>
      </c>
      <c r="J61" s="47">
        <f t="shared" si="32"/>
        <v>-9311</v>
      </c>
      <c r="K61" s="47">
        <f t="shared" si="32"/>
        <v>-9311.038999999982</v>
      </c>
      <c r="L61" s="47">
        <f t="shared" si="32"/>
        <v>-12711.038999999982</v>
      </c>
      <c r="M61" s="47">
        <f t="shared" si="32"/>
        <v>-43855.738999999994</v>
      </c>
      <c r="N61" s="47">
        <f t="shared" si="32"/>
        <v>15271.996086613137</v>
      </c>
      <c r="O61" s="84">
        <f t="shared" si="32"/>
        <v>-14497.562602458169</v>
      </c>
    </row>
    <row r="62" spans="1:15" ht="15.75" hidden="1">
      <c r="A62" s="78" t="s">
        <v>59</v>
      </c>
      <c r="B62" s="47">
        <f>SUM(B168:B170)</f>
        <v>6038.2</v>
      </c>
      <c r="C62" s="47">
        <f aca="true" t="shared" si="33" ref="C62:O62">SUM(C168:C170)</f>
        <v>19266.800000000014</v>
      </c>
      <c r="D62" s="47">
        <f t="shared" si="33"/>
        <v>-1865.999999999999</v>
      </c>
      <c r="E62" s="47">
        <f t="shared" si="33"/>
        <v>1354.1999999999998</v>
      </c>
      <c r="F62" s="47">
        <f t="shared" si="33"/>
        <v>18755.000000000015</v>
      </c>
      <c r="G62" s="51">
        <f t="shared" si="33"/>
        <v>0</v>
      </c>
      <c r="H62" s="47">
        <f t="shared" si="33"/>
        <v>7200</v>
      </c>
      <c r="I62" s="47">
        <f t="shared" si="33"/>
        <v>0</v>
      </c>
      <c r="J62" s="47">
        <f t="shared" si="33"/>
        <v>25469.741999999977</v>
      </c>
      <c r="K62" s="47">
        <f t="shared" si="33"/>
        <v>25469.74899999997</v>
      </c>
      <c r="L62" s="47">
        <f t="shared" si="33"/>
        <v>32669.74899999997</v>
      </c>
      <c r="M62" s="47">
        <f t="shared" si="33"/>
        <v>51424.74899999999</v>
      </c>
      <c r="N62" s="47">
        <f t="shared" si="33"/>
        <v>-9974.57000000001</v>
      </c>
      <c r="O62" s="84">
        <f t="shared" si="33"/>
        <v>47488.37899999998</v>
      </c>
    </row>
    <row r="63" spans="1:15" ht="15.75" hidden="1">
      <c r="A63" s="78" t="s">
        <v>60</v>
      </c>
      <c r="B63" s="47">
        <f>SUM(B171:B173)</f>
        <v>15165.599999999999</v>
      </c>
      <c r="C63" s="47">
        <f aca="true" t="shared" si="34" ref="C63:O63">SUM(C171:C173)</f>
        <v>21566.6</v>
      </c>
      <c r="D63" s="47">
        <f t="shared" si="34"/>
        <v>20314.8</v>
      </c>
      <c r="E63" s="47">
        <f t="shared" si="34"/>
        <v>-36.30000000000007</v>
      </c>
      <c r="F63" s="47">
        <f t="shared" si="34"/>
        <v>41845.09999999999</v>
      </c>
      <c r="G63" s="51">
        <f t="shared" si="34"/>
        <v>0</v>
      </c>
      <c r="H63" s="47">
        <f t="shared" si="34"/>
        <v>2600</v>
      </c>
      <c r="I63" s="47">
        <f t="shared" si="34"/>
        <v>0</v>
      </c>
      <c r="J63" s="47">
        <f t="shared" si="34"/>
        <v>-4538.334999999986</v>
      </c>
      <c r="K63" s="47">
        <f t="shared" si="34"/>
        <v>-4538.323999999993</v>
      </c>
      <c r="L63" s="47">
        <f t="shared" si="34"/>
        <v>-1938.3239999999932</v>
      </c>
      <c r="M63" s="47">
        <f t="shared" si="34"/>
        <v>39906.776</v>
      </c>
      <c r="N63" s="47">
        <f t="shared" si="34"/>
        <v>7036.848999999982</v>
      </c>
      <c r="O63" s="84">
        <f t="shared" si="34"/>
        <v>62109.22499999998</v>
      </c>
    </row>
    <row r="64" spans="1:15" ht="15.75" hidden="1">
      <c r="A64" s="78" t="s">
        <v>61</v>
      </c>
      <c r="B64" s="47">
        <f>SUM(B174:B176)</f>
        <v>54468.81968907132</v>
      </c>
      <c r="C64" s="47">
        <f aca="true" t="shared" si="35" ref="C64:O64">SUM(C174:C176)</f>
        <v>-8442.900000000003</v>
      </c>
      <c r="D64" s="47">
        <f t="shared" si="35"/>
        <v>7873.197533000004</v>
      </c>
      <c r="E64" s="47">
        <f t="shared" si="35"/>
        <v>4599.299999999999</v>
      </c>
      <c r="F64" s="47">
        <f t="shared" si="35"/>
        <v>4029.597533</v>
      </c>
      <c r="G64" s="51">
        <f t="shared" si="35"/>
        <v>0</v>
      </c>
      <c r="H64" s="47">
        <f t="shared" si="35"/>
        <v>-233.29999999999927</v>
      </c>
      <c r="I64" s="47">
        <f t="shared" si="35"/>
        <v>0</v>
      </c>
      <c r="J64" s="47">
        <f t="shared" si="35"/>
        <v>-11620.406999999988</v>
      </c>
      <c r="K64" s="47">
        <f t="shared" si="35"/>
        <v>-11620.406999999988</v>
      </c>
      <c r="L64" s="47">
        <f t="shared" si="35"/>
        <v>-11853.706999999988</v>
      </c>
      <c r="M64" s="47">
        <f t="shared" si="35"/>
        <v>-7824.1094669999875</v>
      </c>
      <c r="N64" s="47">
        <f t="shared" si="35"/>
        <v>-99450.3082933212</v>
      </c>
      <c r="O64" s="84">
        <f t="shared" si="35"/>
        <v>-52805.598071249864</v>
      </c>
    </row>
    <row r="65" spans="1:15" ht="15.75" hidden="1">
      <c r="A65" s="78"/>
      <c r="B65" s="47"/>
      <c r="C65" s="47"/>
      <c r="D65" s="47"/>
      <c r="E65" s="47"/>
      <c r="F65" s="47"/>
      <c r="G65" s="47"/>
      <c r="H65" s="47"/>
      <c r="I65" s="51">
        <v>0</v>
      </c>
      <c r="J65" s="47"/>
      <c r="K65" s="46"/>
      <c r="L65" s="45"/>
      <c r="M65" s="47"/>
      <c r="N65" s="47"/>
      <c r="O65" s="81"/>
    </row>
    <row r="66" spans="1:15" ht="15.75" hidden="1">
      <c r="A66" s="78" t="s">
        <v>58</v>
      </c>
      <c r="B66" s="47">
        <f>SUM(B178:B180)</f>
        <v>7228.060472925219</v>
      </c>
      <c r="C66" s="47">
        <f aca="true" t="shared" si="36" ref="C66:O66">SUM(C178:C180)</f>
        <v>-42366.69999999998</v>
      </c>
      <c r="D66" s="47">
        <f t="shared" si="36"/>
        <v>7464.402467</v>
      </c>
      <c r="E66" s="47">
        <f t="shared" si="36"/>
        <v>-2178.7999999999993</v>
      </c>
      <c r="F66" s="47">
        <f t="shared" si="36"/>
        <v>-37081.09753299998</v>
      </c>
      <c r="G66" s="51">
        <f t="shared" si="36"/>
        <v>0</v>
      </c>
      <c r="H66" s="47">
        <f t="shared" si="36"/>
        <v>-1071.9000000000015</v>
      </c>
      <c r="I66" s="47">
        <f t="shared" si="36"/>
        <v>0</v>
      </c>
      <c r="J66" s="47">
        <f t="shared" si="36"/>
        <v>-4598.755000000085</v>
      </c>
      <c r="K66" s="47">
        <f t="shared" si="36"/>
        <v>-4598.755000000085</v>
      </c>
      <c r="L66" s="47">
        <f t="shared" si="36"/>
        <v>-5670.655000000086</v>
      </c>
      <c r="M66" s="47">
        <f t="shared" si="36"/>
        <v>-42751.752533000064</v>
      </c>
      <c r="N66" s="47">
        <f t="shared" si="36"/>
        <v>19945.386150744227</v>
      </c>
      <c r="O66" s="84">
        <f t="shared" si="36"/>
        <v>-15578.305909330622</v>
      </c>
    </row>
    <row r="67" spans="1:15" ht="15.75" hidden="1">
      <c r="A67" s="78" t="s">
        <v>59</v>
      </c>
      <c r="B67" s="47">
        <f>SUM(B181:B183)</f>
        <v>17721.12769636082</v>
      </c>
      <c r="C67" s="47">
        <f aca="true" t="shared" si="37" ref="C67:O67">SUM(C181:C183)</f>
        <v>16791.89999999999</v>
      </c>
      <c r="D67" s="47">
        <f t="shared" si="37"/>
        <v>2992.0999999999894</v>
      </c>
      <c r="E67" s="47">
        <f t="shared" si="37"/>
        <v>3369</v>
      </c>
      <c r="F67" s="47">
        <f t="shared" si="37"/>
        <v>23152.999999999978</v>
      </c>
      <c r="G67" s="51">
        <f t="shared" si="37"/>
        <v>0</v>
      </c>
      <c r="H67" s="47">
        <f t="shared" si="37"/>
        <v>2025.2999999999993</v>
      </c>
      <c r="I67" s="47">
        <f t="shared" si="37"/>
        <v>0</v>
      </c>
      <c r="J67" s="47">
        <f t="shared" si="37"/>
        <v>-12864.567000000014</v>
      </c>
      <c r="K67" s="47">
        <f t="shared" si="37"/>
        <v>-12864.567000000014</v>
      </c>
      <c r="L67" s="47">
        <f t="shared" si="37"/>
        <v>-10839.267000000014</v>
      </c>
      <c r="M67" s="47">
        <f t="shared" si="37"/>
        <v>12313.732999999964</v>
      </c>
      <c r="N67" s="47">
        <f t="shared" si="37"/>
        <v>13895.668537078196</v>
      </c>
      <c r="O67" s="84">
        <f t="shared" si="37"/>
        <v>43930.52923343898</v>
      </c>
    </row>
    <row r="68" spans="1:15" ht="15.75" hidden="1">
      <c r="A68" s="78" t="s">
        <v>60</v>
      </c>
      <c r="B68" s="47">
        <f>SUM(B197:B199)</f>
        <v>25527.25140982902</v>
      </c>
      <c r="C68" s="47">
        <f aca="true" t="shared" si="38" ref="C68:O68">SUM(C197:C199)</f>
        <v>3115.9000000000015</v>
      </c>
      <c r="D68" s="47">
        <f t="shared" si="38"/>
        <v>-30318.799999999996</v>
      </c>
      <c r="E68" s="47">
        <f t="shared" si="38"/>
        <v>-4369.999999999998</v>
      </c>
      <c r="F68" s="47">
        <f t="shared" si="38"/>
        <v>-31572.899999999994</v>
      </c>
      <c r="G68" s="51">
        <f t="shared" si="38"/>
        <v>0</v>
      </c>
      <c r="H68" s="47">
        <f t="shared" si="38"/>
        <v>12785.900000000001</v>
      </c>
      <c r="I68" s="47">
        <f t="shared" si="38"/>
        <v>0</v>
      </c>
      <c r="J68" s="47">
        <f t="shared" si="38"/>
        <v>54977.9867810001</v>
      </c>
      <c r="K68" s="47">
        <f t="shared" si="38"/>
        <v>54977.9867810001</v>
      </c>
      <c r="L68" s="47">
        <f t="shared" si="38"/>
        <v>67763.8867810001</v>
      </c>
      <c r="M68" s="47">
        <f t="shared" si="38"/>
        <v>36190.98678100011</v>
      </c>
      <c r="N68" s="47">
        <f t="shared" si="38"/>
        <v>-20288.57430230616</v>
      </c>
      <c r="O68" s="84">
        <f t="shared" si="38"/>
        <v>41429.66388852297</v>
      </c>
    </row>
    <row r="69" spans="1:15" ht="17.25" customHeight="1" hidden="1">
      <c r="A69" s="78" t="s">
        <v>61</v>
      </c>
      <c r="B69" s="45">
        <f>SUM(B187:B189)</f>
        <v>19800.55464390247</v>
      </c>
      <c r="C69" s="45">
        <f aca="true" t="shared" si="39" ref="C69:O69">SUM(C187:C189)</f>
        <v>78308.59999999998</v>
      </c>
      <c r="D69" s="45">
        <f t="shared" si="39"/>
        <v>-25263.800000000003</v>
      </c>
      <c r="E69" s="45">
        <f t="shared" si="39"/>
        <v>3856.6000000000004</v>
      </c>
      <c r="F69" s="45">
        <f t="shared" si="39"/>
        <v>56901.39999999997</v>
      </c>
      <c r="G69" s="51">
        <f t="shared" si="39"/>
        <v>0</v>
      </c>
      <c r="H69" s="45">
        <f t="shared" si="39"/>
        <v>3160</v>
      </c>
      <c r="I69" s="45">
        <f t="shared" si="39"/>
        <v>0</v>
      </c>
      <c r="J69" s="45">
        <f t="shared" si="39"/>
        <v>3178.8800000000047</v>
      </c>
      <c r="K69" s="45">
        <f t="shared" si="39"/>
        <v>3178.8800000000047</v>
      </c>
      <c r="L69" s="45">
        <f t="shared" si="39"/>
        <v>6338.880000000005</v>
      </c>
      <c r="M69" s="45">
        <f t="shared" si="39"/>
        <v>63240.27999999997</v>
      </c>
      <c r="N69" s="45">
        <f t="shared" si="39"/>
        <v>-66315.50199999995</v>
      </c>
      <c r="O69" s="112">
        <f t="shared" si="39"/>
        <v>16725.332643902497</v>
      </c>
    </row>
    <row r="70" spans="1:15" ht="15.75" hidden="1">
      <c r="A70" s="78"/>
      <c r="B70" s="52"/>
      <c r="C70" s="52"/>
      <c r="D70" s="60"/>
      <c r="E70" s="61"/>
      <c r="F70" s="48"/>
      <c r="G70" s="56"/>
      <c r="H70" s="55"/>
      <c r="I70" s="51"/>
      <c r="J70" s="56"/>
      <c r="K70" s="46"/>
      <c r="L70" s="45"/>
      <c r="M70" s="52"/>
      <c r="N70" s="57"/>
      <c r="O70" s="81"/>
    </row>
    <row r="71" spans="1:15" ht="15.75" hidden="1">
      <c r="A71" s="78" t="s">
        <v>53</v>
      </c>
      <c r="B71" s="47">
        <f>SUM(B191:B193)</f>
        <v>4644.02820280166</v>
      </c>
      <c r="C71" s="47">
        <f aca="true" t="shared" si="40" ref="C71:O71">SUM(C191:C193)</f>
        <v>-52661.30000000001</v>
      </c>
      <c r="D71" s="47">
        <f t="shared" si="40"/>
        <v>-28874.79999999999</v>
      </c>
      <c r="E71" s="47">
        <f t="shared" si="40"/>
        <v>-2211.5</v>
      </c>
      <c r="F71" s="47">
        <f t="shared" si="40"/>
        <v>-83747.6</v>
      </c>
      <c r="G71" s="49">
        <f t="shared" si="40"/>
        <v>0</v>
      </c>
      <c r="H71" s="47">
        <f t="shared" si="40"/>
        <v>-526.6999999999971</v>
      </c>
      <c r="I71" s="47">
        <f t="shared" si="40"/>
        <v>0</v>
      </c>
      <c r="J71" s="47">
        <f t="shared" si="40"/>
        <v>41762.310212</v>
      </c>
      <c r="K71" s="47">
        <f t="shared" si="40"/>
        <v>41762.310212</v>
      </c>
      <c r="L71" s="47">
        <f t="shared" si="40"/>
        <v>41235.610212</v>
      </c>
      <c r="M71" s="47">
        <f t="shared" si="40"/>
        <v>-42511.989788</v>
      </c>
      <c r="N71" s="47">
        <f t="shared" si="40"/>
        <v>1124.805613234923</v>
      </c>
      <c r="O71" s="84">
        <f t="shared" si="40"/>
        <v>-36743.15597196342</v>
      </c>
    </row>
    <row r="72" spans="1:15" ht="15.75" hidden="1">
      <c r="A72" s="78" t="s">
        <v>59</v>
      </c>
      <c r="B72" s="47">
        <f>SUM(B194:B196)</f>
        <v>7210.818877989452</v>
      </c>
      <c r="C72" s="47">
        <f aca="true" t="shared" si="41" ref="C72:O72">SUM(C194:C196)</f>
        <v>14441.899999999994</v>
      </c>
      <c r="D72" s="47">
        <f t="shared" si="41"/>
        <v>10235.999999999993</v>
      </c>
      <c r="E72" s="47">
        <f t="shared" si="41"/>
        <v>4777.5999999999985</v>
      </c>
      <c r="F72" s="47">
        <f t="shared" si="41"/>
        <v>29455.49999999999</v>
      </c>
      <c r="G72" s="49">
        <f t="shared" si="41"/>
        <v>0</v>
      </c>
      <c r="H72" s="47">
        <f t="shared" si="41"/>
        <v>11320</v>
      </c>
      <c r="I72" s="47">
        <f t="shared" si="41"/>
        <v>0</v>
      </c>
      <c r="J72" s="47">
        <f t="shared" si="41"/>
        <v>1029.215573999958</v>
      </c>
      <c r="K72" s="47">
        <f t="shared" si="41"/>
        <v>1029.215573999958</v>
      </c>
      <c r="L72" s="47">
        <f t="shared" si="41"/>
        <v>12349.215573999958</v>
      </c>
      <c r="M72" s="47">
        <f t="shared" si="41"/>
        <v>41804.71557399994</v>
      </c>
      <c r="N72" s="47">
        <f t="shared" si="41"/>
        <v>-10999.464597317441</v>
      </c>
      <c r="O72" s="84">
        <f t="shared" si="41"/>
        <v>38016.06985467196</v>
      </c>
    </row>
    <row r="73" spans="1:15" ht="15.75" hidden="1">
      <c r="A73" s="78" t="s">
        <v>60</v>
      </c>
      <c r="B73" s="47">
        <f>SUM(B197:B199)</f>
        <v>25527.25140982902</v>
      </c>
      <c r="C73" s="47">
        <f aca="true" t="shared" si="42" ref="C73:O73">SUM(C197:C199)</f>
        <v>3115.9000000000015</v>
      </c>
      <c r="D73" s="47">
        <f t="shared" si="42"/>
        <v>-30318.799999999996</v>
      </c>
      <c r="E73" s="47">
        <f t="shared" si="42"/>
        <v>-4369.999999999998</v>
      </c>
      <c r="F73" s="47">
        <f t="shared" si="42"/>
        <v>-31572.899999999994</v>
      </c>
      <c r="G73" s="49">
        <f t="shared" si="42"/>
        <v>0</v>
      </c>
      <c r="H73" s="47">
        <f t="shared" si="42"/>
        <v>12785.900000000001</v>
      </c>
      <c r="I73" s="47">
        <f t="shared" si="42"/>
        <v>0</v>
      </c>
      <c r="J73" s="47">
        <f t="shared" si="42"/>
        <v>54977.9867810001</v>
      </c>
      <c r="K73" s="47">
        <f t="shared" si="42"/>
        <v>54977.9867810001</v>
      </c>
      <c r="L73" s="47">
        <f t="shared" si="42"/>
        <v>67763.8867810001</v>
      </c>
      <c r="M73" s="47">
        <f t="shared" si="42"/>
        <v>36190.98678100011</v>
      </c>
      <c r="N73" s="47">
        <f t="shared" si="42"/>
        <v>-20288.57430230616</v>
      </c>
      <c r="O73" s="84">
        <f t="shared" si="42"/>
        <v>41429.66388852297</v>
      </c>
    </row>
    <row r="74" spans="1:15" ht="15.75" hidden="1">
      <c r="A74" s="78" t="s">
        <v>61</v>
      </c>
      <c r="B74" s="47">
        <f aca="true" t="shared" si="43" ref="B74:G74">SUM(B200:B202)</f>
        <v>62431.90822480964</v>
      </c>
      <c r="C74" s="47">
        <f t="shared" si="43"/>
        <v>86443.00000000003</v>
      </c>
      <c r="D74" s="47">
        <f t="shared" si="43"/>
        <v>12451.499999999996</v>
      </c>
      <c r="E74" s="49">
        <f t="shared" si="43"/>
        <v>0</v>
      </c>
      <c r="F74" s="47">
        <f t="shared" si="43"/>
        <v>98894.50000000001</v>
      </c>
      <c r="G74" s="49">
        <f t="shared" si="43"/>
        <v>0</v>
      </c>
      <c r="H74" s="47">
        <f aca="true" t="shared" si="44" ref="H74:O74">SUM(H200:H202)</f>
        <v>-2550.631000000001</v>
      </c>
      <c r="I74" s="47">
        <f t="shared" si="44"/>
        <v>0</v>
      </c>
      <c r="J74" s="47">
        <f t="shared" si="44"/>
        <v>-30630.361320999975</v>
      </c>
      <c r="K74" s="47">
        <f t="shared" si="44"/>
        <v>-30630.361320999975</v>
      </c>
      <c r="L74" s="47">
        <f t="shared" si="44"/>
        <v>-33180.992320999976</v>
      </c>
      <c r="M74" s="47">
        <f t="shared" si="44"/>
        <v>65713.50767900003</v>
      </c>
      <c r="N74" s="47">
        <f t="shared" si="44"/>
        <v>-51094.93210378237</v>
      </c>
      <c r="O74" s="84">
        <f t="shared" si="44"/>
        <v>77050.48380002732</v>
      </c>
    </row>
    <row r="75" spans="1:15" ht="15.75" hidden="1">
      <c r="A75" s="78"/>
      <c r="B75" s="47"/>
      <c r="C75" s="47"/>
      <c r="D75" s="53"/>
      <c r="E75" s="49"/>
      <c r="F75" s="48"/>
      <c r="G75" s="51"/>
      <c r="H75" s="56"/>
      <c r="I75" s="51"/>
      <c r="J75" s="56"/>
      <c r="K75" s="61"/>
      <c r="L75" s="45"/>
      <c r="M75" s="52"/>
      <c r="N75" s="57"/>
      <c r="O75" s="81"/>
    </row>
    <row r="76" spans="1:15" ht="15.75" hidden="1">
      <c r="A76" s="78" t="s">
        <v>63</v>
      </c>
      <c r="B76" s="47">
        <f>SUM(B204:B206)</f>
        <v>2842.69666618034</v>
      </c>
      <c r="C76" s="47">
        <f aca="true" t="shared" si="45" ref="C76:O76">SUM(C204:C206)</f>
        <v>-14881.39931199998</v>
      </c>
      <c r="D76" s="47">
        <f t="shared" si="45"/>
        <v>-18669.499999999993</v>
      </c>
      <c r="E76" s="49">
        <f t="shared" si="45"/>
        <v>-356.50000000000045</v>
      </c>
      <c r="F76" s="47">
        <f t="shared" si="45"/>
        <v>-33907.399311999965</v>
      </c>
      <c r="G76" s="47">
        <f t="shared" si="45"/>
        <v>-506.79999999999995</v>
      </c>
      <c r="H76" s="47">
        <f t="shared" si="45"/>
        <v>-1392.9000000000015</v>
      </c>
      <c r="I76" s="49">
        <f t="shared" si="45"/>
        <v>0</v>
      </c>
      <c r="J76" s="49">
        <f t="shared" si="45"/>
        <v>11644.8</v>
      </c>
      <c r="K76" s="49">
        <f t="shared" si="45"/>
        <v>11644.8</v>
      </c>
      <c r="L76" s="47">
        <f t="shared" si="45"/>
        <v>9745.099999999999</v>
      </c>
      <c r="M76" s="47">
        <f t="shared" si="45"/>
        <v>-24162.299311999974</v>
      </c>
      <c r="N76" s="47">
        <f t="shared" si="45"/>
        <v>8662.608788049223</v>
      </c>
      <c r="O76" s="84">
        <f t="shared" si="45"/>
        <v>-12656.993857770407</v>
      </c>
    </row>
    <row r="77" spans="1:15" ht="15.75" hidden="1">
      <c r="A77" s="78" t="s">
        <v>59</v>
      </c>
      <c r="B77" s="47">
        <f>SUM(B207:B209)</f>
        <v>981.656938283568</v>
      </c>
      <c r="C77" s="47">
        <f aca="true" t="shared" si="46" ref="C77:O77">SUM(C207:C209)</f>
        <v>9341.200000000026</v>
      </c>
      <c r="D77" s="47">
        <f t="shared" si="46"/>
        <v>21520.5</v>
      </c>
      <c r="E77" s="49">
        <f t="shared" si="46"/>
        <v>1875.699999999999</v>
      </c>
      <c r="F77" s="47">
        <f t="shared" si="46"/>
        <v>32737.400000000023</v>
      </c>
      <c r="G77" s="47">
        <f t="shared" si="46"/>
        <v>-327</v>
      </c>
      <c r="H77" s="47">
        <f t="shared" si="46"/>
        <v>9968.900000000001</v>
      </c>
      <c r="I77" s="49">
        <f t="shared" si="46"/>
        <v>0</v>
      </c>
      <c r="J77" s="49">
        <f t="shared" si="46"/>
        <v>0</v>
      </c>
      <c r="K77" s="49">
        <f t="shared" si="46"/>
        <v>0</v>
      </c>
      <c r="L77" s="47">
        <f t="shared" si="46"/>
        <v>9641.900000000001</v>
      </c>
      <c r="M77" s="47">
        <f t="shared" si="46"/>
        <v>42379.300000000025</v>
      </c>
      <c r="N77" s="47">
        <f t="shared" si="46"/>
        <v>-8948.4</v>
      </c>
      <c r="O77" s="84">
        <f t="shared" si="46"/>
        <v>34412.55693828359</v>
      </c>
    </row>
    <row r="78" spans="1:15" ht="15.75" hidden="1">
      <c r="A78" s="78" t="s">
        <v>60</v>
      </c>
      <c r="B78" s="47">
        <f>B210+B211+B212</f>
        <v>1980.4421475654217</v>
      </c>
      <c r="C78" s="47">
        <f aca="true" t="shared" si="47" ref="C78:O78">C210+C211+C212</f>
        <v>-7152.999999999949</v>
      </c>
      <c r="D78" s="47">
        <f t="shared" si="47"/>
        <v>33118.299999999996</v>
      </c>
      <c r="E78" s="62">
        <f t="shared" si="47"/>
        <v>0</v>
      </c>
      <c r="F78" s="47">
        <f t="shared" si="47"/>
        <v>25965.300000000043</v>
      </c>
      <c r="G78" s="49">
        <f t="shared" si="47"/>
        <v>0</v>
      </c>
      <c r="H78" s="47">
        <f t="shared" si="47"/>
        <v>-2424.8</v>
      </c>
      <c r="I78" s="49">
        <f t="shared" si="47"/>
        <v>0</v>
      </c>
      <c r="J78" s="49">
        <f t="shared" si="47"/>
        <v>0</v>
      </c>
      <c r="K78" s="49">
        <f t="shared" si="47"/>
        <v>0</v>
      </c>
      <c r="L78" s="47">
        <f>L210+L211+L212</f>
        <v>-2424.8</v>
      </c>
      <c r="M78" s="47">
        <f t="shared" si="47"/>
        <v>23540.500000000047</v>
      </c>
      <c r="N78" s="47">
        <f t="shared" si="47"/>
        <v>23281.9</v>
      </c>
      <c r="O78" s="84">
        <f t="shared" si="47"/>
        <v>48802.84214756547</v>
      </c>
    </row>
    <row r="79" spans="1:16" ht="15.75" hidden="1">
      <c r="A79" s="78" t="s">
        <v>61</v>
      </c>
      <c r="B79" s="47">
        <f>SUM(B213:B215)</f>
        <v>-1294.3000000000002</v>
      </c>
      <c r="C79" s="47">
        <f aca="true" t="shared" si="48" ref="C79:O79">SUM(C213:C215)</f>
        <v>16072.099999999955</v>
      </c>
      <c r="D79" s="47">
        <f t="shared" si="48"/>
        <v>4524.699999999995</v>
      </c>
      <c r="E79" s="62">
        <f t="shared" si="48"/>
        <v>1139.3</v>
      </c>
      <c r="F79" s="47">
        <f t="shared" si="48"/>
        <v>21736.099999999948</v>
      </c>
      <c r="G79" s="62">
        <f t="shared" si="48"/>
        <v>0</v>
      </c>
      <c r="H79" s="47">
        <f t="shared" si="48"/>
        <v>6007.600000000011</v>
      </c>
      <c r="I79" s="62">
        <f t="shared" si="48"/>
        <v>0</v>
      </c>
      <c r="J79" s="62">
        <f t="shared" si="48"/>
        <v>0</v>
      </c>
      <c r="K79" s="47">
        <f t="shared" si="48"/>
        <v>38000</v>
      </c>
      <c r="L79" s="47">
        <f t="shared" si="48"/>
        <v>44007.60000000001</v>
      </c>
      <c r="M79" s="47">
        <f t="shared" si="48"/>
        <v>65743.69999999997</v>
      </c>
      <c r="N79" s="47">
        <f t="shared" si="48"/>
        <v>-23640.1</v>
      </c>
      <c r="O79" s="84">
        <f t="shared" si="48"/>
        <v>40809.29999999997</v>
      </c>
      <c r="P79" s="4"/>
    </row>
    <row r="80" spans="1:17" ht="15.75" hidden="1">
      <c r="A80" s="78"/>
      <c r="B80" s="47"/>
      <c r="C80" s="47"/>
      <c r="D80" s="53"/>
      <c r="E80" s="56"/>
      <c r="F80" s="48"/>
      <c r="G80" s="49"/>
      <c r="H80" s="30"/>
      <c r="I80" s="51"/>
      <c r="J80" s="56"/>
      <c r="K80" s="46"/>
      <c r="L80" s="48"/>
      <c r="M80" s="52"/>
      <c r="N80" s="57"/>
      <c r="O80" s="81"/>
      <c r="P80" s="96"/>
      <c r="Q80" s="4"/>
    </row>
    <row r="81" spans="1:17" ht="15.75" hidden="1">
      <c r="A81" s="78" t="s">
        <v>64</v>
      </c>
      <c r="B81" s="47">
        <f>SUM(B217:B219)</f>
        <v>32601.200000000004</v>
      </c>
      <c r="C81" s="47">
        <f aca="true" t="shared" si="49" ref="C81:O81">SUM(C217:C219)</f>
        <v>7372.900000000009</v>
      </c>
      <c r="D81" s="47">
        <f t="shared" si="49"/>
        <v>5359.299999999999</v>
      </c>
      <c r="E81" s="47">
        <f t="shared" si="49"/>
        <v>-5906.800000000001</v>
      </c>
      <c r="F81" s="47">
        <f t="shared" si="49"/>
        <v>6825.400000000007</v>
      </c>
      <c r="G81" s="51">
        <v>0</v>
      </c>
      <c r="H81" s="47">
        <f t="shared" si="49"/>
        <v>3346</v>
      </c>
      <c r="I81" s="49">
        <f t="shared" si="49"/>
        <v>0</v>
      </c>
      <c r="J81" s="49">
        <f t="shared" si="49"/>
        <v>0</v>
      </c>
      <c r="K81" s="49">
        <f t="shared" si="49"/>
        <v>0</v>
      </c>
      <c r="L81" s="47">
        <f t="shared" si="49"/>
        <v>3346</v>
      </c>
      <c r="M81" s="47">
        <f t="shared" si="49"/>
        <v>10171.400000000005</v>
      </c>
      <c r="N81" s="47">
        <f t="shared" si="49"/>
        <v>47688.42147399997</v>
      </c>
      <c r="O81" s="84">
        <f t="shared" si="49"/>
        <v>90461.02147399998</v>
      </c>
      <c r="P81" s="96"/>
      <c r="Q81" s="4"/>
    </row>
    <row r="82" spans="1:17" ht="18" hidden="1">
      <c r="A82" s="78" t="s">
        <v>90</v>
      </c>
      <c r="B82" s="47">
        <f>SUM(B220:B222)</f>
        <v>7692</v>
      </c>
      <c r="C82" s="47">
        <f>SUM(C220:C222)</f>
        <v>25947.899999999972</v>
      </c>
      <c r="D82" s="47">
        <f>SUM(D220:D222)</f>
        <v>22733.70000000002</v>
      </c>
      <c r="E82" s="47">
        <f>SUM(E220:E222)</f>
        <v>5364.800000000001</v>
      </c>
      <c r="F82" s="47">
        <f>SUM(F220:F222)</f>
        <v>54046.399999999994</v>
      </c>
      <c r="G82" s="51">
        <v>0</v>
      </c>
      <c r="H82" s="47">
        <f aca="true" t="shared" si="50" ref="H82:O82">SUM(H220:H222)</f>
        <v>8990.919999999998</v>
      </c>
      <c r="I82" s="49">
        <f t="shared" si="50"/>
        <v>0</v>
      </c>
      <c r="J82" s="49">
        <f t="shared" si="50"/>
        <v>0</v>
      </c>
      <c r="K82" s="49">
        <f t="shared" si="50"/>
        <v>0</v>
      </c>
      <c r="L82" s="47">
        <f t="shared" si="50"/>
        <v>8990.919999999998</v>
      </c>
      <c r="M82" s="47">
        <f t="shared" si="50"/>
        <v>63037.319999999985</v>
      </c>
      <c r="N82" s="47">
        <f t="shared" si="50"/>
        <v>-36618.83495639997</v>
      </c>
      <c r="O82" s="84">
        <f t="shared" si="50"/>
        <v>34110.48504360001</v>
      </c>
      <c r="P82" s="96"/>
      <c r="Q82" s="4"/>
    </row>
    <row r="83" spans="1:17" ht="18" hidden="1">
      <c r="A83" s="78" t="s">
        <v>97</v>
      </c>
      <c r="B83" s="47">
        <f>SUM(B223:B225)</f>
        <v>13711.900000000001</v>
      </c>
      <c r="C83" s="47">
        <f aca="true" t="shared" si="51" ref="C83:O83">SUM(C223:C225)</f>
        <v>-31950.500000000007</v>
      </c>
      <c r="D83" s="47">
        <f t="shared" si="51"/>
        <v>15572.19999999999</v>
      </c>
      <c r="E83" s="49">
        <f t="shared" si="51"/>
        <v>0</v>
      </c>
      <c r="F83" s="47">
        <f t="shared" si="51"/>
        <v>-16378.300000000017</v>
      </c>
      <c r="G83" s="51">
        <v>0</v>
      </c>
      <c r="H83" s="47">
        <f t="shared" si="51"/>
        <v>-8968.100000000006</v>
      </c>
      <c r="I83" s="49">
        <f aca="true" t="shared" si="52" ref="I83:K84">SUM(I221:I223)</f>
        <v>0</v>
      </c>
      <c r="J83" s="49">
        <f t="shared" si="52"/>
        <v>0</v>
      </c>
      <c r="K83" s="49">
        <f t="shared" si="52"/>
        <v>0</v>
      </c>
      <c r="L83" s="47">
        <f t="shared" si="51"/>
        <v>-8968.100000000006</v>
      </c>
      <c r="M83" s="47">
        <f t="shared" si="51"/>
        <v>-25346.400000000023</v>
      </c>
      <c r="N83" s="47">
        <f t="shared" si="51"/>
        <v>61180.72306419803</v>
      </c>
      <c r="O83" s="84">
        <f t="shared" si="51"/>
        <v>49546.223064198006</v>
      </c>
      <c r="P83" s="96"/>
      <c r="Q83" s="4"/>
    </row>
    <row r="84" spans="1:17" ht="18">
      <c r="A84" s="78" t="s">
        <v>99</v>
      </c>
      <c r="B84" s="47">
        <f>SUM(B226:B228)</f>
        <v>6489.9</v>
      </c>
      <c r="C84" s="47">
        <f aca="true" t="shared" si="53" ref="C84:O84">SUM(C226:C228)</f>
        <v>68196.9</v>
      </c>
      <c r="D84" s="47">
        <f t="shared" si="53"/>
        <v>34332.60000000001</v>
      </c>
      <c r="E84" s="49">
        <f t="shared" si="53"/>
        <v>0</v>
      </c>
      <c r="F84" s="47">
        <f t="shared" si="53"/>
        <v>102529.5</v>
      </c>
      <c r="G84" s="51">
        <v>0</v>
      </c>
      <c r="H84" s="47">
        <f t="shared" si="53"/>
        <v>4754.560000000012</v>
      </c>
      <c r="I84" s="49">
        <f t="shared" si="52"/>
        <v>0</v>
      </c>
      <c r="J84" s="49">
        <f t="shared" si="52"/>
        <v>0</v>
      </c>
      <c r="K84" s="49">
        <f t="shared" si="52"/>
        <v>0</v>
      </c>
      <c r="L84" s="47">
        <f t="shared" si="53"/>
        <v>4754.560000000012</v>
      </c>
      <c r="M84" s="47">
        <f t="shared" si="53"/>
        <v>107284.06000000003</v>
      </c>
      <c r="N84" s="47">
        <f t="shared" si="53"/>
        <v>-105646.16415700002</v>
      </c>
      <c r="O84" s="84">
        <f t="shared" si="53"/>
        <v>8127.795842999999</v>
      </c>
      <c r="P84" s="96"/>
      <c r="Q84" s="4"/>
    </row>
    <row r="85" spans="1:15" ht="15.75">
      <c r="A85" s="86"/>
      <c r="B85" s="56"/>
      <c r="C85" s="47"/>
      <c r="D85" s="53"/>
      <c r="E85" s="63"/>
      <c r="F85" s="48"/>
      <c r="G85" s="51"/>
      <c r="H85" s="56"/>
      <c r="I85" s="49"/>
      <c r="J85" s="56"/>
      <c r="K85" s="46"/>
      <c r="L85" s="48"/>
      <c r="M85" s="52"/>
      <c r="N85" s="57"/>
      <c r="O85" s="81"/>
    </row>
    <row r="86" spans="1:15" ht="18">
      <c r="A86" s="78" t="s">
        <v>93</v>
      </c>
      <c r="B86" s="56">
        <f>SUM(B230:B232)</f>
        <v>1124.470225</v>
      </c>
      <c r="C86" s="56">
        <f aca="true" t="shared" si="54" ref="C86:O86">SUM(C230:C232)</f>
        <v>-47897.59999999997</v>
      </c>
      <c r="D86" s="56">
        <f t="shared" si="54"/>
        <v>9475.099999999984</v>
      </c>
      <c r="E86" s="49">
        <f t="shared" si="54"/>
        <v>-200</v>
      </c>
      <c r="F86" s="56">
        <f t="shared" si="54"/>
        <v>-38622.499999999985</v>
      </c>
      <c r="G86" s="49">
        <f t="shared" si="54"/>
        <v>0</v>
      </c>
      <c r="H86" s="56">
        <f t="shared" si="54"/>
        <v>-2180.9600000000064</v>
      </c>
      <c r="I86" s="49">
        <f t="shared" si="54"/>
        <v>0</v>
      </c>
      <c r="J86" s="49">
        <f t="shared" si="54"/>
        <v>0</v>
      </c>
      <c r="K86" s="49">
        <f t="shared" si="54"/>
        <v>0</v>
      </c>
      <c r="L86" s="56">
        <f t="shared" si="54"/>
        <v>-2180.9600000000064</v>
      </c>
      <c r="M86" s="56">
        <f t="shared" si="54"/>
        <v>-40803.45999999999</v>
      </c>
      <c r="N86" s="56">
        <f>SUM(N230:N232)</f>
        <v>70776.81950199882</v>
      </c>
      <c r="O86" s="105">
        <f t="shared" si="54"/>
        <v>31097.829726998836</v>
      </c>
    </row>
    <row r="87" spans="1:15" ht="18">
      <c r="A87" s="78" t="s">
        <v>94</v>
      </c>
      <c r="B87" s="56">
        <f>SUM(B233:B235)</f>
        <v>-192.49999999999994</v>
      </c>
      <c r="C87" s="56">
        <f aca="true" t="shared" si="55" ref="C87:O87">SUM(C233:C235)</f>
        <v>102505.61941799996</v>
      </c>
      <c r="D87" s="56">
        <f t="shared" si="55"/>
        <v>15908.000000000015</v>
      </c>
      <c r="E87" s="49">
        <f t="shared" si="55"/>
        <v>1514.7999999999993</v>
      </c>
      <c r="F87" s="56">
        <f t="shared" si="55"/>
        <v>119928.41941799996</v>
      </c>
      <c r="G87" s="49">
        <f t="shared" si="55"/>
        <v>0</v>
      </c>
      <c r="H87" s="56">
        <f t="shared" si="55"/>
        <v>14764.5</v>
      </c>
      <c r="I87" s="49">
        <f t="shared" si="55"/>
        <v>0</v>
      </c>
      <c r="J87" s="49">
        <f t="shared" si="55"/>
        <v>0</v>
      </c>
      <c r="K87" s="49">
        <f t="shared" si="55"/>
        <v>0</v>
      </c>
      <c r="L87" s="56">
        <f t="shared" si="55"/>
        <v>14764.5</v>
      </c>
      <c r="M87" s="56">
        <f t="shared" si="55"/>
        <v>134692.91941799998</v>
      </c>
      <c r="N87" s="56">
        <f t="shared" si="55"/>
        <v>-44496.424007332134</v>
      </c>
      <c r="O87" s="105">
        <f t="shared" si="55"/>
        <v>90003.99541066782</v>
      </c>
    </row>
    <row r="88" spans="1:15" ht="18">
      <c r="A88" s="78" t="s">
        <v>91</v>
      </c>
      <c r="B88" s="56">
        <f>SUM(B236:B238)</f>
        <v>-2314.801097</v>
      </c>
      <c r="C88" s="56">
        <f aca="true" t="shared" si="56" ref="C88:O88">SUM(C236:C238)</f>
        <v>81386.934808</v>
      </c>
      <c r="D88" s="56">
        <f t="shared" si="56"/>
        <v>15053.999999999993</v>
      </c>
      <c r="E88" s="49">
        <f t="shared" si="56"/>
        <v>775.0000000000018</v>
      </c>
      <c r="F88" s="56">
        <f t="shared" si="56"/>
        <v>97215.934808</v>
      </c>
      <c r="G88" s="49">
        <f t="shared" si="56"/>
        <v>0</v>
      </c>
      <c r="H88" s="56">
        <f t="shared" si="56"/>
        <v>6386.900000000009</v>
      </c>
      <c r="I88" s="49">
        <f t="shared" si="56"/>
        <v>0</v>
      </c>
      <c r="J88" s="49">
        <f t="shared" si="56"/>
        <v>0</v>
      </c>
      <c r="K88" s="49">
        <f t="shared" si="56"/>
        <v>0</v>
      </c>
      <c r="L88" s="56">
        <f t="shared" si="56"/>
        <v>6386.900000000009</v>
      </c>
      <c r="M88" s="56">
        <f t="shared" si="56"/>
        <v>103602.834808</v>
      </c>
      <c r="N88" s="56">
        <f t="shared" si="56"/>
        <v>-48903.41459276265</v>
      </c>
      <c r="O88" s="105">
        <f t="shared" si="56"/>
        <v>52384.61911823735</v>
      </c>
    </row>
    <row r="89" spans="1:16" ht="18">
      <c r="A89" s="78" t="s">
        <v>92</v>
      </c>
      <c r="B89" s="56">
        <f>SUM(B239:B241)</f>
        <v>1686.6</v>
      </c>
      <c r="C89" s="56">
        <f aca="true" t="shared" si="57" ref="C89:O89">SUM(C239:C241)</f>
        <v>82568.8718</v>
      </c>
      <c r="D89" s="56">
        <f t="shared" si="57"/>
        <v>82444.2</v>
      </c>
      <c r="E89" s="49">
        <f t="shared" si="57"/>
        <v>-1995.5000000000018</v>
      </c>
      <c r="F89" s="56">
        <f t="shared" si="57"/>
        <v>163017.5718</v>
      </c>
      <c r="G89" s="49">
        <f t="shared" si="57"/>
        <v>0</v>
      </c>
      <c r="H89" s="56">
        <f t="shared" si="57"/>
        <v>10959.887187999993</v>
      </c>
      <c r="I89" s="49">
        <f t="shared" si="57"/>
        <v>0</v>
      </c>
      <c r="J89" s="49">
        <f t="shared" si="57"/>
        <v>0</v>
      </c>
      <c r="K89" s="49">
        <f t="shared" si="57"/>
        <v>0</v>
      </c>
      <c r="L89" s="56">
        <f t="shared" si="57"/>
        <v>10959.887187999993</v>
      </c>
      <c r="M89" s="56">
        <f t="shared" si="57"/>
        <v>173977.458988</v>
      </c>
      <c r="N89" s="56">
        <f t="shared" si="57"/>
        <v>-93960.28316559998</v>
      </c>
      <c r="O89" s="105">
        <f t="shared" si="57"/>
        <v>81703.77582240003</v>
      </c>
      <c r="P89" s="4"/>
    </row>
    <row r="90" spans="1:16" ht="15.75">
      <c r="A90" s="78"/>
      <c r="B90" s="56"/>
      <c r="C90" s="56"/>
      <c r="D90" s="56"/>
      <c r="E90" s="63"/>
      <c r="F90" s="61"/>
      <c r="G90" s="51"/>
      <c r="H90" s="49"/>
      <c r="I90" s="49"/>
      <c r="J90" s="49"/>
      <c r="K90" s="63"/>
      <c r="L90" s="61"/>
      <c r="M90" s="61"/>
      <c r="N90" s="56"/>
      <c r="O90" s="106"/>
      <c r="P90" s="4"/>
    </row>
    <row r="91" spans="1:15" ht="18">
      <c r="A91" s="78" t="s">
        <v>95</v>
      </c>
      <c r="B91" s="56">
        <f>SUM(B243:B245)</f>
        <v>20183.28818816465</v>
      </c>
      <c r="C91" s="56">
        <f aca="true" t="shared" si="58" ref="C91:O91">SUM(C243:C245)</f>
        <v>1112.969342000055</v>
      </c>
      <c r="D91" s="56">
        <f t="shared" si="58"/>
        <v>36479.19999999998</v>
      </c>
      <c r="E91" s="56">
        <f t="shared" si="58"/>
        <v>-219.39999999999964</v>
      </c>
      <c r="F91" s="56">
        <f t="shared" si="58"/>
        <v>37372.769342000036</v>
      </c>
      <c r="G91" s="49">
        <f t="shared" si="58"/>
        <v>0</v>
      </c>
      <c r="H91" s="56">
        <f t="shared" si="58"/>
        <v>9980.5</v>
      </c>
      <c r="I91" s="49">
        <f t="shared" si="58"/>
        <v>0</v>
      </c>
      <c r="J91" s="49">
        <f t="shared" si="58"/>
        <v>0</v>
      </c>
      <c r="K91" s="49">
        <f t="shared" si="58"/>
        <v>0</v>
      </c>
      <c r="L91" s="56">
        <f t="shared" si="58"/>
        <v>9980.5</v>
      </c>
      <c r="M91" s="56">
        <f t="shared" si="58"/>
        <v>47353.269342000036</v>
      </c>
      <c r="N91" s="56">
        <f t="shared" si="58"/>
        <v>-13388.714912644406</v>
      </c>
      <c r="O91" s="105">
        <f t="shared" si="58"/>
        <v>54147.84261752028</v>
      </c>
    </row>
    <row r="92" spans="1:15" ht="18">
      <c r="A92" s="78" t="s">
        <v>94</v>
      </c>
      <c r="B92" s="56">
        <f>SUM(B246:B248)</f>
        <v>1678.8343067499998</v>
      </c>
      <c r="C92" s="56">
        <f aca="true" t="shared" si="59" ref="C92:O92">SUM(C246:C248)</f>
        <v>3411.79999999993</v>
      </c>
      <c r="D92" s="56">
        <f t="shared" si="59"/>
        <v>59429.100000000035</v>
      </c>
      <c r="E92" s="56">
        <f t="shared" si="59"/>
        <v>2441.2999999999993</v>
      </c>
      <c r="F92" s="56">
        <f t="shared" si="59"/>
        <v>65282.19999999996</v>
      </c>
      <c r="G92" s="49">
        <f t="shared" si="59"/>
        <v>0</v>
      </c>
      <c r="H92" s="56">
        <f t="shared" si="59"/>
        <v>5764.600000000006</v>
      </c>
      <c r="I92" s="49">
        <f t="shared" si="59"/>
        <v>0</v>
      </c>
      <c r="J92" s="49">
        <f t="shared" si="59"/>
        <v>0</v>
      </c>
      <c r="K92" s="49">
        <f t="shared" si="59"/>
        <v>0</v>
      </c>
      <c r="L92" s="56">
        <f t="shared" si="59"/>
        <v>5764.600000000006</v>
      </c>
      <c r="M92" s="56">
        <f t="shared" si="59"/>
        <v>71046.79999999997</v>
      </c>
      <c r="N92" s="56">
        <f t="shared" si="59"/>
        <v>-314.2285904993678</v>
      </c>
      <c r="O92" s="105">
        <f t="shared" si="59"/>
        <v>72411.4057162506</v>
      </c>
    </row>
    <row r="93" spans="1:15" ht="18">
      <c r="A93" s="78" t="s">
        <v>91</v>
      </c>
      <c r="B93" s="56">
        <f>SUM(B249:B251)</f>
        <v>-2231.8103723129498</v>
      </c>
      <c r="C93" s="56">
        <f aca="true" t="shared" si="60" ref="C93:O93">SUM(C249:C251)</f>
        <v>8791.600000000048</v>
      </c>
      <c r="D93" s="56">
        <f t="shared" si="60"/>
        <v>35255.70000000001</v>
      </c>
      <c r="E93" s="49">
        <f t="shared" si="60"/>
        <v>-1544.5</v>
      </c>
      <c r="F93" s="56">
        <f t="shared" si="60"/>
        <v>42502.80000000006</v>
      </c>
      <c r="G93" s="49">
        <f t="shared" si="60"/>
        <v>0</v>
      </c>
      <c r="H93" s="56">
        <f t="shared" si="60"/>
        <v>10497.899999999994</v>
      </c>
      <c r="I93" s="49">
        <f t="shared" si="60"/>
        <v>0</v>
      </c>
      <c r="J93" s="49">
        <f t="shared" si="60"/>
        <v>0</v>
      </c>
      <c r="K93" s="49">
        <f t="shared" si="60"/>
        <v>0</v>
      </c>
      <c r="L93" s="56">
        <f t="shared" si="60"/>
        <v>10497.899999999994</v>
      </c>
      <c r="M93" s="56">
        <f t="shared" si="60"/>
        <v>53000.700000000055</v>
      </c>
      <c r="N93" s="56">
        <f t="shared" si="60"/>
        <v>7337.399238173568</v>
      </c>
      <c r="O93" s="105">
        <f t="shared" si="60"/>
        <v>58106.28886586067</v>
      </c>
    </row>
    <row r="94" spans="1:15" ht="18">
      <c r="A94" s="78" t="s">
        <v>92</v>
      </c>
      <c r="B94" s="56">
        <f>SUM(B252:B254)</f>
        <v>-1712.8536249858598</v>
      </c>
      <c r="C94" s="56">
        <f aca="true" t="shared" si="61" ref="C94:O94">SUM(C252:C254)</f>
        <v>51302.600000000006</v>
      </c>
      <c r="D94" s="56">
        <f t="shared" si="61"/>
        <v>36941.999999999956</v>
      </c>
      <c r="E94" s="49">
        <f t="shared" si="61"/>
        <v>0</v>
      </c>
      <c r="F94" s="56">
        <f t="shared" si="61"/>
        <v>88244.59999999996</v>
      </c>
      <c r="G94" s="49">
        <f t="shared" si="61"/>
        <v>0</v>
      </c>
      <c r="H94" s="56">
        <f t="shared" si="61"/>
        <v>9617.800000000017</v>
      </c>
      <c r="I94" s="56">
        <f t="shared" si="61"/>
        <v>0</v>
      </c>
      <c r="J94" s="49">
        <f t="shared" si="61"/>
        <v>0</v>
      </c>
      <c r="K94" s="49">
        <f t="shared" si="61"/>
        <v>0</v>
      </c>
      <c r="L94" s="56">
        <f t="shared" si="61"/>
        <v>9617.800000000017</v>
      </c>
      <c r="M94" s="56">
        <f t="shared" si="61"/>
        <v>97862.39999999998</v>
      </c>
      <c r="N94" s="56">
        <f t="shared" si="61"/>
        <v>6147.112004130602</v>
      </c>
      <c r="O94" s="105">
        <f t="shared" si="61"/>
        <v>102296.65837914472</v>
      </c>
    </row>
    <row r="95" spans="1:15" ht="15.75">
      <c r="A95" s="78"/>
      <c r="B95" s="56"/>
      <c r="C95" s="56"/>
      <c r="D95" s="56"/>
      <c r="E95" s="63"/>
      <c r="F95" s="61"/>
      <c r="G95" s="51"/>
      <c r="H95" s="56"/>
      <c r="I95" s="56"/>
      <c r="J95" s="49"/>
      <c r="K95" s="49"/>
      <c r="L95" s="61"/>
      <c r="M95" s="61"/>
      <c r="N95" s="56"/>
      <c r="O95" s="106"/>
    </row>
    <row r="96" spans="1:15" ht="18">
      <c r="A96" s="78" t="s">
        <v>96</v>
      </c>
      <c r="B96" s="56">
        <f>SUM(B256:B258)</f>
        <v>425.4261102198127</v>
      </c>
      <c r="C96" s="56">
        <f aca="true" t="shared" si="62" ref="C96:N96">SUM(C256:C258)</f>
        <v>3066</v>
      </c>
      <c r="D96" s="56">
        <f t="shared" si="62"/>
        <v>59642.19999999981</v>
      </c>
      <c r="E96" s="56">
        <f t="shared" si="62"/>
        <v>6361</v>
      </c>
      <c r="F96" s="56">
        <f t="shared" si="62"/>
        <v>69069.19999999981</v>
      </c>
      <c r="G96" s="63">
        <f t="shared" si="62"/>
        <v>0</v>
      </c>
      <c r="H96" s="56">
        <f t="shared" si="62"/>
        <v>6324.469999999972</v>
      </c>
      <c r="I96" s="56">
        <f t="shared" si="62"/>
        <v>0</v>
      </c>
      <c r="J96" s="114">
        <f t="shared" si="62"/>
        <v>0</v>
      </c>
      <c r="K96" s="49">
        <f t="shared" si="62"/>
        <v>0</v>
      </c>
      <c r="L96" s="56">
        <f t="shared" si="62"/>
        <v>6324.469999999972</v>
      </c>
      <c r="M96" s="56">
        <f t="shared" si="62"/>
        <v>75393.66999999978</v>
      </c>
      <c r="N96" s="56">
        <f t="shared" si="62"/>
        <v>-48486.23334799977</v>
      </c>
      <c r="O96" s="105">
        <f>SUM(O256:O258)</f>
        <v>27332.862762219822</v>
      </c>
    </row>
    <row r="97" spans="1:15" ht="18">
      <c r="A97" s="78" t="s">
        <v>94</v>
      </c>
      <c r="B97" s="56">
        <f>SUM(B259:B261)</f>
        <v>833.9340636386125</v>
      </c>
      <c r="C97" s="56">
        <f aca="true" t="shared" si="63" ref="C97:O97">SUM(C259:C261)</f>
        <v>-11716.899999999936</v>
      </c>
      <c r="D97" s="56">
        <f t="shared" si="63"/>
        <v>50761.900000000074</v>
      </c>
      <c r="E97" s="56">
        <f t="shared" si="63"/>
        <v>-3845.0999999999985</v>
      </c>
      <c r="F97" s="56">
        <f t="shared" si="63"/>
        <v>35199.90000000014</v>
      </c>
      <c r="G97" s="63">
        <f t="shared" si="63"/>
        <v>0</v>
      </c>
      <c r="H97" s="56">
        <f t="shared" si="63"/>
        <v>2937.3300000000163</v>
      </c>
      <c r="I97" s="56">
        <f t="shared" si="63"/>
        <v>0</v>
      </c>
      <c r="J97" s="51">
        <f t="shared" si="63"/>
        <v>0</v>
      </c>
      <c r="K97" s="49">
        <f t="shared" si="63"/>
        <v>0</v>
      </c>
      <c r="L97" s="56">
        <f t="shared" si="63"/>
        <v>2937.3300000000163</v>
      </c>
      <c r="M97" s="56">
        <f t="shared" si="63"/>
        <v>38137.230000000156</v>
      </c>
      <c r="N97" s="56">
        <f t="shared" si="63"/>
        <v>25949.30592598011</v>
      </c>
      <c r="O97" s="105">
        <f t="shared" si="63"/>
        <v>64920.46998961887</v>
      </c>
    </row>
    <row r="98" spans="1:15" ht="18">
      <c r="A98" s="78" t="s">
        <v>91</v>
      </c>
      <c r="B98" s="56">
        <f>SUM(B262:B264)</f>
        <v>-189.51394733471466</v>
      </c>
      <c r="C98" s="56">
        <f aca="true" t="shared" si="64" ref="C98:O98">SUM(C262:C264)</f>
        <v>-4175.400000000045</v>
      </c>
      <c r="D98" s="56">
        <f t="shared" si="64"/>
        <v>35640.80000000005</v>
      </c>
      <c r="E98" s="49">
        <f t="shared" si="64"/>
        <v>2807.399999999998</v>
      </c>
      <c r="F98" s="56">
        <f t="shared" si="64"/>
        <v>34272.799999999996</v>
      </c>
      <c r="G98" s="51">
        <f t="shared" si="64"/>
        <v>0</v>
      </c>
      <c r="H98" s="56">
        <f t="shared" si="64"/>
        <v>24613.17371599997</v>
      </c>
      <c r="I98" s="56">
        <f t="shared" si="64"/>
        <v>0</v>
      </c>
      <c r="J98" s="51">
        <f t="shared" si="64"/>
        <v>0</v>
      </c>
      <c r="K98" s="49">
        <f t="shared" si="64"/>
        <v>0</v>
      </c>
      <c r="L98" s="56">
        <f t="shared" si="64"/>
        <v>24613.17371599997</v>
      </c>
      <c r="M98" s="56">
        <f t="shared" si="64"/>
        <v>58885.973715999964</v>
      </c>
      <c r="N98" s="56">
        <f t="shared" si="64"/>
        <v>-10649.93483768459</v>
      </c>
      <c r="O98" s="105">
        <f t="shared" si="64"/>
        <v>48046.52493098065</v>
      </c>
    </row>
    <row r="99" spans="1:15" ht="18">
      <c r="A99" s="78" t="s">
        <v>92</v>
      </c>
      <c r="B99" s="56">
        <f>SUM(B265:B267)</f>
        <v>-2895.7626704419404</v>
      </c>
      <c r="C99" s="56">
        <f aca="true" t="shared" si="65" ref="C99:O99">SUM(C265:C267)</f>
        <v>21326.79999999996</v>
      </c>
      <c r="D99" s="56">
        <f t="shared" si="65"/>
        <v>73173.99999999993</v>
      </c>
      <c r="E99" s="56">
        <f t="shared" si="65"/>
        <v>-4260.499999999998</v>
      </c>
      <c r="F99" s="56">
        <f t="shared" si="65"/>
        <v>90240.29999999989</v>
      </c>
      <c r="G99" s="51">
        <f t="shared" si="65"/>
        <v>0</v>
      </c>
      <c r="H99" s="56">
        <f t="shared" si="65"/>
        <v>5732.626283999998</v>
      </c>
      <c r="I99" s="56">
        <f t="shared" si="65"/>
        <v>0</v>
      </c>
      <c r="J99" s="51">
        <f t="shared" si="65"/>
        <v>0</v>
      </c>
      <c r="K99" s="49">
        <f t="shared" si="65"/>
        <v>0</v>
      </c>
      <c r="L99" s="56">
        <f t="shared" si="65"/>
        <v>5732.626283999998</v>
      </c>
      <c r="M99" s="56">
        <f t="shared" si="65"/>
        <v>95972.92628399988</v>
      </c>
      <c r="N99" s="56">
        <f t="shared" si="65"/>
        <v>8920.565953337304</v>
      </c>
      <c r="O99" s="56">
        <f t="shared" si="65"/>
        <v>101997.72956689526</v>
      </c>
    </row>
    <row r="100" spans="1:15" ht="15.75" hidden="1">
      <c r="A100" s="78" t="s">
        <v>20</v>
      </c>
      <c r="B100" s="47">
        <v>848.2</v>
      </c>
      <c r="C100" s="47">
        <v>-4501</v>
      </c>
      <c r="D100" s="53">
        <v>1143.5</v>
      </c>
      <c r="E100" s="54">
        <v>-164.3</v>
      </c>
      <c r="F100" s="45">
        <f aca="true" t="shared" si="66" ref="F100:F111">+C100+D100+E100</f>
        <v>-3521.8</v>
      </c>
      <c r="G100" s="54">
        <v>-384.6</v>
      </c>
      <c r="H100" s="55">
        <v>-1218.2</v>
      </c>
      <c r="I100" s="51">
        <v>0</v>
      </c>
      <c r="J100" s="115" t="s">
        <v>6</v>
      </c>
      <c r="K100" s="118">
        <f aca="true" t="shared" si="67" ref="K100:K111">+I100+J100</f>
        <v>0</v>
      </c>
      <c r="L100" s="45">
        <f aca="true" t="shared" si="68" ref="L100:L111">K100+H100+G100</f>
        <v>-1602.8000000000002</v>
      </c>
      <c r="M100" s="47">
        <f aca="true" t="shared" si="69" ref="M100:M111">+F100+L100</f>
        <v>-5124.6</v>
      </c>
      <c r="N100" s="57">
        <f>-11019.9+4983.8</f>
        <v>-6036.099999999999</v>
      </c>
      <c r="O100" s="81">
        <f aca="true" t="shared" si="70" ref="O100:O111">M100+N100+B100</f>
        <v>-10312.5</v>
      </c>
    </row>
    <row r="101" spans="1:15" ht="15.75" hidden="1">
      <c r="A101" s="86" t="s">
        <v>66</v>
      </c>
      <c r="B101" s="47">
        <v>-594.5</v>
      </c>
      <c r="C101" s="47">
        <v>6172.2</v>
      </c>
      <c r="D101" s="53">
        <v>591.9</v>
      </c>
      <c r="E101" s="54">
        <v>55.1</v>
      </c>
      <c r="F101" s="45">
        <f t="shared" si="66"/>
        <v>6819.2</v>
      </c>
      <c r="G101" s="54">
        <v>-110</v>
      </c>
      <c r="H101" s="55">
        <v>-1210.7</v>
      </c>
      <c r="I101" s="51">
        <v>0</v>
      </c>
      <c r="J101" s="115" t="s">
        <v>6</v>
      </c>
      <c r="K101" s="118">
        <f t="shared" si="67"/>
        <v>0</v>
      </c>
      <c r="L101" s="45">
        <f t="shared" si="68"/>
        <v>-1320.7</v>
      </c>
      <c r="M101" s="47">
        <f t="shared" si="69"/>
        <v>5498.5</v>
      </c>
      <c r="N101" s="57">
        <f>2765.3-4804</f>
        <v>-2038.6999999999998</v>
      </c>
      <c r="O101" s="81">
        <f t="shared" si="70"/>
        <v>2865.3</v>
      </c>
    </row>
    <row r="102" spans="1:15" ht="15.75" hidden="1">
      <c r="A102" s="86" t="s">
        <v>75</v>
      </c>
      <c r="B102" s="47">
        <v>-671.5</v>
      </c>
      <c r="C102" s="47">
        <v>-2858.1</v>
      </c>
      <c r="D102" s="53">
        <v>2180.7</v>
      </c>
      <c r="E102" s="54">
        <v>81.6</v>
      </c>
      <c r="F102" s="45">
        <f t="shared" si="66"/>
        <v>-595.8000000000001</v>
      </c>
      <c r="G102" s="54">
        <v>-656.3</v>
      </c>
      <c r="H102" s="55">
        <v>-4320.1</v>
      </c>
      <c r="I102" s="51">
        <v>0</v>
      </c>
      <c r="J102" s="115" t="s">
        <v>6</v>
      </c>
      <c r="K102" s="118">
        <f t="shared" si="67"/>
        <v>0</v>
      </c>
      <c r="L102" s="45">
        <f t="shared" si="68"/>
        <v>-4976.400000000001</v>
      </c>
      <c r="M102" s="47">
        <f t="shared" si="69"/>
        <v>-5572.200000000001</v>
      </c>
      <c r="N102" s="57">
        <f>-4040.7+6343.7</f>
        <v>2303</v>
      </c>
      <c r="O102" s="81">
        <f t="shared" si="70"/>
        <v>-3940.7000000000007</v>
      </c>
    </row>
    <row r="103" spans="1:15" ht="15.75" hidden="1">
      <c r="A103" s="86" t="s">
        <v>76</v>
      </c>
      <c r="B103" s="47">
        <v>-660.7</v>
      </c>
      <c r="C103" s="47">
        <v>5441.8</v>
      </c>
      <c r="D103" s="53">
        <v>-1306.1</v>
      </c>
      <c r="E103" s="54">
        <v>674.8</v>
      </c>
      <c r="F103" s="45">
        <f t="shared" si="66"/>
        <v>4810.500000000001</v>
      </c>
      <c r="G103" s="54">
        <v>416</v>
      </c>
      <c r="H103" s="55">
        <v>1098.4</v>
      </c>
      <c r="I103" s="51">
        <v>0</v>
      </c>
      <c r="J103" s="115" t="s">
        <v>6</v>
      </c>
      <c r="K103" s="118">
        <f t="shared" si="67"/>
        <v>0</v>
      </c>
      <c r="L103" s="45">
        <f t="shared" si="68"/>
        <v>1514.4</v>
      </c>
      <c r="M103" s="47">
        <f t="shared" si="69"/>
        <v>6324.9000000000015</v>
      </c>
      <c r="N103" s="57">
        <f>2074.5-5664.2</f>
        <v>-3589.7</v>
      </c>
      <c r="O103" s="81">
        <f t="shared" si="70"/>
        <v>2074.500000000002</v>
      </c>
    </row>
    <row r="104" spans="1:15" ht="15.75" hidden="1">
      <c r="A104" s="86" t="s">
        <v>77</v>
      </c>
      <c r="B104" s="47">
        <v>-301.5</v>
      </c>
      <c r="C104" s="47">
        <v>4546</v>
      </c>
      <c r="D104" s="53">
        <v>3276.8</v>
      </c>
      <c r="E104" s="54">
        <v>-325.2</v>
      </c>
      <c r="F104" s="45">
        <f t="shared" si="66"/>
        <v>7497.6</v>
      </c>
      <c r="G104" s="54">
        <v>-241.3</v>
      </c>
      <c r="H104" s="55">
        <v>-3327.3</v>
      </c>
      <c r="I104" s="51">
        <v>0</v>
      </c>
      <c r="J104" s="115" t="s">
        <v>6</v>
      </c>
      <c r="K104" s="118">
        <f t="shared" si="67"/>
        <v>0</v>
      </c>
      <c r="L104" s="45">
        <f t="shared" si="68"/>
        <v>-3568.6000000000004</v>
      </c>
      <c r="M104" s="47">
        <f t="shared" si="69"/>
        <v>3929</v>
      </c>
      <c r="N104" s="57">
        <f>2959.9-3617.5</f>
        <v>-657.5999999999999</v>
      </c>
      <c r="O104" s="81">
        <f t="shared" si="70"/>
        <v>2969.9</v>
      </c>
    </row>
    <row r="105" spans="1:15" ht="15.75" hidden="1">
      <c r="A105" s="86" t="s">
        <v>67</v>
      </c>
      <c r="B105" s="47">
        <v>503.4</v>
      </c>
      <c r="C105" s="47">
        <v>-1430</v>
      </c>
      <c r="D105" s="53">
        <v>-20.2</v>
      </c>
      <c r="E105" s="54">
        <v>176.6</v>
      </c>
      <c r="F105" s="45">
        <f t="shared" si="66"/>
        <v>-1273.6000000000001</v>
      </c>
      <c r="G105" s="51">
        <v>0</v>
      </c>
      <c r="H105" s="55">
        <v>1052.6</v>
      </c>
      <c r="I105" s="51">
        <v>0</v>
      </c>
      <c r="J105" s="115" t="s">
        <v>6</v>
      </c>
      <c r="K105" s="118">
        <f t="shared" si="67"/>
        <v>0</v>
      </c>
      <c r="L105" s="45">
        <f t="shared" si="68"/>
        <v>1052.6</v>
      </c>
      <c r="M105" s="47">
        <f t="shared" si="69"/>
        <v>-221.00000000000023</v>
      </c>
      <c r="N105" s="57">
        <f>1348.4+30.7</f>
        <v>1379.1000000000001</v>
      </c>
      <c r="O105" s="81">
        <f t="shared" si="70"/>
        <v>1661.5</v>
      </c>
    </row>
    <row r="106" spans="1:15" ht="15.75" hidden="1">
      <c r="A106" s="86" t="s">
        <v>68</v>
      </c>
      <c r="B106" s="47">
        <v>463</v>
      </c>
      <c r="C106" s="47">
        <v>7866.5</v>
      </c>
      <c r="D106" s="53">
        <v>-2482.9</v>
      </c>
      <c r="E106" s="54">
        <v>745.8</v>
      </c>
      <c r="F106" s="45">
        <f t="shared" si="66"/>
        <v>6129.400000000001</v>
      </c>
      <c r="G106" s="54">
        <v>734.9</v>
      </c>
      <c r="H106" s="55">
        <v>-487.1</v>
      </c>
      <c r="I106" s="51">
        <v>0</v>
      </c>
      <c r="J106" s="115" t="s">
        <v>6</v>
      </c>
      <c r="K106" s="118">
        <f t="shared" si="67"/>
        <v>0</v>
      </c>
      <c r="L106" s="45">
        <f t="shared" si="68"/>
        <v>247.79999999999995</v>
      </c>
      <c r="M106" s="47">
        <f t="shared" si="69"/>
        <v>6377.200000000001</v>
      </c>
      <c r="N106" s="57">
        <f>4812.2-6840.2</f>
        <v>-2028</v>
      </c>
      <c r="O106" s="81">
        <f t="shared" si="70"/>
        <v>4812.200000000001</v>
      </c>
    </row>
    <row r="107" spans="1:15" ht="15.75" hidden="1">
      <c r="A107" s="86" t="s">
        <v>69</v>
      </c>
      <c r="B107" s="47">
        <v>10220.8</v>
      </c>
      <c r="C107" s="47">
        <v>-7471.6</v>
      </c>
      <c r="D107" s="53">
        <v>52.1</v>
      </c>
      <c r="E107" s="54">
        <v>-886</v>
      </c>
      <c r="F107" s="45">
        <f t="shared" si="66"/>
        <v>-8305.5</v>
      </c>
      <c r="G107" s="54">
        <v>244</v>
      </c>
      <c r="H107" s="55">
        <v>1110.2</v>
      </c>
      <c r="I107" s="51">
        <v>0</v>
      </c>
      <c r="J107" s="115" t="s">
        <v>6</v>
      </c>
      <c r="K107" s="118">
        <f t="shared" si="67"/>
        <v>0</v>
      </c>
      <c r="L107" s="45">
        <f t="shared" si="68"/>
        <v>1354.2</v>
      </c>
      <c r="M107" s="47">
        <f t="shared" si="69"/>
        <v>-6951.3</v>
      </c>
      <c r="N107" s="57">
        <f>12044.8-3269.5</f>
        <v>8775.3</v>
      </c>
      <c r="O107" s="81">
        <f t="shared" si="70"/>
        <v>12044.8</v>
      </c>
    </row>
    <row r="108" spans="1:15" ht="15.75" hidden="1">
      <c r="A108" s="86" t="s">
        <v>26</v>
      </c>
      <c r="B108" s="47">
        <v>485.2</v>
      </c>
      <c r="C108" s="47">
        <v>3565.7</v>
      </c>
      <c r="D108" s="53">
        <v>-1524.5</v>
      </c>
      <c r="E108" s="54">
        <v>-107.3</v>
      </c>
      <c r="F108" s="45">
        <f t="shared" si="66"/>
        <v>1933.8999999999999</v>
      </c>
      <c r="G108" s="54">
        <v>193.4</v>
      </c>
      <c r="H108" s="55">
        <v>-260.1</v>
      </c>
      <c r="I108" s="51">
        <v>0</v>
      </c>
      <c r="J108" s="115" t="s">
        <v>6</v>
      </c>
      <c r="K108" s="118">
        <f t="shared" si="67"/>
        <v>0</v>
      </c>
      <c r="L108" s="45">
        <f t="shared" si="68"/>
        <v>-66.70000000000002</v>
      </c>
      <c r="M108" s="47">
        <f t="shared" si="69"/>
        <v>1867.1999999999998</v>
      </c>
      <c r="N108" s="57">
        <f>-567.4-2352.4</f>
        <v>-2919.8</v>
      </c>
      <c r="O108" s="81">
        <f t="shared" si="70"/>
        <v>-567.4000000000003</v>
      </c>
    </row>
    <row r="109" spans="1:15" ht="15.75" hidden="1">
      <c r="A109" s="86" t="s">
        <v>71</v>
      </c>
      <c r="B109" s="47">
        <v>1284.5</v>
      </c>
      <c r="C109" s="47">
        <v>4392.2</v>
      </c>
      <c r="D109" s="53">
        <v>-4210.2</v>
      </c>
      <c r="E109" s="54">
        <v>306.6</v>
      </c>
      <c r="F109" s="45">
        <f t="shared" si="66"/>
        <v>488.6</v>
      </c>
      <c r="G109" s="54">
        <v>141.6</v>
      </c>
      <c r="H109" s="55">
        <v>1456.9</v>
      </c>
      <c r="I109" s="51">
        <v>0</v>
      </c>
      <c r="J109" s="115" t="s">
        <v>6</v>
      </c>
      <c r="K109" s="118">
        <f t="shared" si="67"/>
        <v>0</v>
      </c>
      <c r="L109" s="45">
        <f t="shared" si="68"/>
        <v>1598.5</v>
      </c>
      <c r="M109" s="47">
        <f t="shared" si="69"/>
        <v>2087.1</v>
      </c>
      <c r="N109" s="57">
        <f>-12728.2-3371.6</f>
        <v>-16099.800000000001</v>
      </c>
      <c r="O109" s="81">
        <f t="shared" si="70"/>
        <v>-12728.2</v>
      </c>
    </row>
    <row r="110" spans="1:15" ht="15.75" hidden="1">
      <c r="A110" s="86" t="s">
        <v>72</v>
      </c>
      <c r="B110" s="47">
        <v>-368.6</v>
      </c>
      <c r="C110" s="47">
        <v>-957.9</v>
      </c>
      <c r="D110" s="53">
        <v>6057.8</v>
      </c>
      <c r="E110" s="54">
        <v>-3.7</v>
      </c>
      <c r="F110" s="45">
        <f t="shared" si="66"/>
        <v>5096.200000000001</v>
      </c>
      <c r="G110" s="54">
        <v>-1488.6</v>
      </c>
      <c r="H110" s="55">
        <v>-1988</v>
      </c>
      <c r="I110" s="51">
        <v>0</v>
      </c>
      <c r="J110" s="115" t="s">
        <v>6</v>
      </c>
      <c r="K110" s="118">
        <f t="shared" si="67"/>
        <v>0</v>
      </c>
      <c r="L110" s="45">
        <f t="shared" si="68"/>
        <v>-3476.6</v>
      </c>
      <c r="M110" s="47">
        <f t="shared" si="69"/>
        <v>1619.6000000000008</v>
      </c>
      <c r="N110" s="57">
        <f>5273.2-948.4</f>
        <v>4324.8</v>
      </c>
      <c r="O110" s="81">
        <f t="shared" si="70"/>
        <v>5575.800000000001</v>
      </c>
    </row>
    <row r="111" spans="1:15" ht="15.75" hidden="1">
      <c r="A111" s="86" t="s">
        <v>73</v>
      </c>
      <c r="B111" s="47">
        <v>2860.6</v>
      </c>
      <c r="C111" s="47">
        <f>10593.6-18300.3</f>
        <v>-7706.699999999999</v>
      </c>
      <c r="D111" s="53">
        <f>2837.7+1429</f>
        <v>4266.7</v>
      </c>
      <c r="E111" s="54">
        <f>727.2+0.2</f>
        <v>727.4000000000001</v>
      </c>
      <c r="F111" s="45">
        <f t="shared" si="66"/>
        <v>-2712.599999999999</v>
      </c>
      <c r="G111" s="54" t="s">
        <v>6</v>
      </c>
      <c r="H111" s="55">
        <v>-985</v>
      </c>
      <c r="I111" s="51">
        <v>0</v>
      </c>
      <c r="J111" s="115">
        <v>-100</v>
      </c>
      <c r="K111" s="118">
        <f t="shared" si="67"/>
        <v>-100</v>
      </c>
      <c r="L111" s="45">
        <f t="shared" si="68"/>
        <v>-1085</v>
      </c>
      <c r="M111" s="47">
        <f t="shared" si="69"/>
        <v>-3797.599999999999</v>
      </c>
      <c r="N111" s="57">
        <f>23247.7+1774.2</f>
        <v>25021.9</v>
      </c>
      <c r="O111" s="81">
        <f t="shared" si="70"/>
        <v>24084.9</v>
      </c>
    </row>
    <row r="112" spans="1:15" ht="15.75" hidden="1">
      <c r="A112" s="78"/>
      <c r="B112" s="47"/>
      <c r="C112" s="47"/>
      <c r="D112" s="47"/>
      <c r="E112" s="47"/>
      <c r="F112" s="47"/>
      <c r="G112" s="47"/>
      <c r="H112" s="47"/>
      <c r="I112" s="51">
        <v>0</v>
      </c>
      <c r="J112" s="116"/>
      <c r="K112" s="118"/>
      <c r="L112" s="45"/>
      <c r="M112" s="45"/>
      <c r="N112" s="47"/>
      <c r="O112" s="81"/>
    </row>
    <row r="113" spans="1:15" ht="15.75" hidden="1">
      <c r="A113" s="78" t="s">
        <v>24</v>
      </c>
      <c r="B113" s="47">
        <v>3900.8</v>
      </c>
      <c r="C113" s="47">
        <v>-5666.6</v>
      </c>
      <c r="D113" s="53">
        <v>-525.2</v>
      </c>
      <c r="E113" s="56">
        <v>-1161</v>
      </c>
      <c r="F113" s="45">
        <f aca="true" t="shared" si="71" ref="F113:F124">+C113+D113+E113</f>
        <v>-7352.8</v>
      </c>
      <c r="G113" s="56">
        <v>-456.6</v>
      </c>
      <c r="H113" s="55">
        <v>-2951.9</v>
      </c>
      <c r="I113" s="51">
        <v>0</v>
      </c>
      <c r="J113" s="115">
        <v>-2713.3</v>
      </c>
      <c r="K113" s="118">
        <f aca="true" t="shared" si="72" ref="K113:K124">+I113+J113</f>
        <v>-2713.3</v>
      </c>
      <c r="L113" s="45">
        <f aca="true" t="shared" si="73" ref="L113:L124">K113+H113+G113</f>
        <v>-6121.800000000001</v>
      </c>
      <c r="M113" s="47">
        <f aca="true" t="shared" si="74" ref="M113:M124">+F113+L113</f>
        <v>-13474.600000000002</v>
      </c>
      <c r="N113" s="57">
        <v>16703.6</v>
      </c>
      <c r="O113" s="81">
        <f aca="true" t="shared" si="75" ref="O113:O124">M113+N113+B113</f>
        <v>7129.7999999999965</v>
      </c>
    </row>
    <row r="114" spans="1:15" ht="15.75" hidden="1">
      <c r="A114" s="86" t="s">
        <v>66</v>
      </c>
      <c r="B114" s="47">
        <v>-3108</v>
      </c>
      <c r="C114" s="47">
        <v>5766.7</v>
      </c>
      <c r="D114" s="53">
        <v>-4541.8</v>
      </c>
      <c r="E114" s="54">
        <v>-55.9</v>
      </c>
      <c r="F114" s="45">
        <f t="shared" si="71"/>
        <v>1168.9999999999995</v>
      </c>
      <c r="G114" s="56" t="s">
        <v>6</v>
      </c>
      <c r="H114" s="55">
        <v>1328.8</v>
      </c>
      <c r="I114" s="51">
        <v>0</v>
      </c>
      <c r="J114" s="115">
        <v>3174.4</v>
      </c>
      <c r="K114" s="118">
        <f t="shared" si="72"/>
        <v>3174.4</v>
      </c>
      <c r="L114" s="45">
        <f t="shared" si="73"/>
        <v>4503.2</v>
      </c>
      <c r="M114" s="47">
        <f t="shared" si="74"/>
        <v>5672.199999999999</v>
      </c>
      <c r="N114" s="57">
        <v>9539</v>
      </c>
      <c r="O114" s="81">
        <f t="shared" si="75"/>
        <v>12103.199999999999</v>
      </c>
    </row>
    <row r="115" spans="1:15" ht="15.75" hidden="1">
      <c r="A115" s="86" t="s">
        <v>75</v>
      </c>
      <c r="B115" s="47">
        <v>286.6</v>
      </c>
      <c r="C115" s="47">
        <v>9116.3</v>
      </c>
      <c r="D115" s="53">
        <v>319.1</v>
      </c>
      <c r="E115" s="56">
        <v>192.3</v>
      </c>
      <c r="F115" s="45">
        <f t="shared" si="71"/>
        <v>9627.699999999999</v>
      </c>
      <c r="G115" s="56" t="s">
        <v>6</v>
      </c>
      <c r="H115" s="55">
        <v>1212.9</v>
      </c>
      <c r="I115" s="51">
        <v>0</v>
      </c>
      <c r="J115" s="115">
        <v>-3380.2</v>
      </c>
      <c r="K115" s="118">
        <f t="shared" si="72"/>
        <v>-3380.2</v>
      </c>
      <c r="L115" s="45">
        <f t="shared" si="73"/>
        <v>-2167.2999999999997</v>
      </c>
      <c r="M115" s="47">
        <f t="shared" si="74"/>
        <v>7460.4</v>
      </c>
      <c r="N115" s="57">
        <v>-5699.6</v>
      </c>
      <c r="O115" s="81">
        <f t="shared" si="75"/>
        <v>2047.3999999999992</v>
      </c>
    </row>
    <row r="116" spans="1:15" ht="15.75" hidden="1">
      <c r="A116" s="86" t="s">
        <v>76</v>
      </c>
      <c r="B116" s="47">
        <v>2680.5</v>
      </c>
      <c r="C116" s="47">
        <v>4077.7</v>
      </c>
      <c r="D116" s="53">
        <v>-2133</v>
      </c>
      <c r="E116" s="56">
        <v>703.2</v>
      </c>
      <c r="F116" s="45">
        <f t="shared" si="71"/>
        <v>2647.8999999999996</v>
      </c>
      <c r="G116" s="56">
        <v>119.3</v>
      </c>
      <c r="H116" s="55">
        <v>41.5</v>
      </c>
      <c r="I116" s="51">
        <v>0</v>
      </c>
      <c r="J116" s="115">
        <v>2151.7</v>
      </c>
      <c r="K116" s="118">
        <f t="shared" si="72"/>
        <v>2151.7</v>
      </c>
      <c r="L116" s="45">
        <f t="shared" si="73"/>
        <v>2312.5</v>
      </c>
      <c r="M116" s="47">
        <f t="shared" si="74"/>
        <v>4960.4</v>
      </c>
      <c r="N116" s="57">
        <v>3120.4</v>
      </c>
      <c r="O116" s="81">
        <f t="shared" si="75"/>
        <v>10761.3</v>
      </c>
    </row>
    <row r="117" spans="1:15" ht="15.75" hidden="1">
      <c r="A117" s="86" t="s">
        <v>77</v>
      </c>
      <c r="B117" s="47">
        <v>1157.8</v>
      </c>
      <c r="C117" s="47">
        <v>2588.4</v>
      </c>
      <c r="D117" s="53">
        <v>3297.8</v>
      </c>
      <c r="E117" s="56">
        <v>558.2</v>
      </c>
      <c r="F117" s="45">
        <f t="shared" si="71"/>
        <v>6444.400000000001</v>
      </c>
      <c r="G117" s="56" t="s">
        <v>6</v>
      </c>
      <c r="H117" s="55">
        <v>-801.4</v>
      </c>
      <c r="I117" s="51">
        <v>0</v>
      </c>
      <c r="J117" s="115">
        <v>3720.3</v>
      </c>
      <c r="K117" s="118">
        <f t="shared" si="72"/>
        <v>3720.3</v>
      </c>
      <c r="L117" s="45">
        <f t="shared" si="73"/>
        <v>2918.9</v>
      </c>
      <c r="M117" s="47">
        <f t="shared" si="74"/>
        <v>9363.300000000001</v>
      </c>
      <c r="N117" s="57">
        <v>-6821.5</v>
      </c>
      <c r="O117" s="81">
        <f t="shared" si="75"/>
        <v>3699.6000000000013</v>
      </c>
    </row>
    <row r="118" spans="1:15" ht="15.75" hidden="1">
      <c r="A118" s="86" t="s">
        <v>67</v>
      </c>
      <c r="B118" s="47">
        <v>2470.6</v>
      </c>
      <c r="C118" s="47">
        <v>3494</v>
      </c>
      <c r="D118" s="53">
        <v>-1676.6</v>
      </c>
      <c r="E118" s="56">
        <v>225</v>
      </c>
      <c r="F118" s="45">
        <f t="shared" si="71"/>
        <v>2042.4</v>
      </c>
      <c r="G118" s="56">
        <v>0.1</v>
      </c>
      <c r="H118" s="55">
        <v>-1090.9</v>
      </c>
      <c r="I118" s="51">
        <v>0</v>
      </c>
      <c r="J118" s="115">
        <v>-1600.3</v>
      </c>
      <c r="K118" s="118">
        <f t="shared" si="72"/>
        <v>-1600.3</v>
      </c>
      <c r="L118" s="45">
        <f t="shared" si="73"/>
        <v>-2691.1</v>
      </c>
      <c r="M118" s="47">
        <f t="shared" si="74"/>
        <v>-648.6999999999998</v>
      </c>
      <c r="N118" s="57">
        <v>-4275.2</v>
      </c>
      <c r="O118" s="81">
        <f t="shared" si="75"/>
        <v>-2453.2999999999997</v>
      </c>
    </row>
    <row r="119" spans="1:15" ht="15.75" hidden="1">
      <c r="A119" s="86" t="s">
        <v>68</v>
      </c>
      <c r="B119" s="47">
        <v>1428.1</v>
      </c>
      <c r="C119" s="47">
        <v>1520.8</v>
      </c>
      <c r="D119" s="53">
        <v>-4342.8</v>
      </c>
      <c r="E119" s="56">
        <v>-894.1</v>
      </c>
      <c r="F119" s="45">
        <f t="shared" si="71"/>
        <v>-3716.1</v>
      </c>
      <c r="G119" s="56">
        <v>-0.1</v>
      </c>
      <c r="H119" s="55">
        <v>-517.6</v>
      </c>
      <c r="I119" s="51">
        <v>0</v>
      </c>
      <c r="J119" s="115">
        <v>10844.8</v>
      </c>
      <c r="K119" s="118">
        <f t="shared" si="72"/>
        <v>10844.8</v>
      </c>
      <c r="L119" s="45">
        <f t="shared" si="73"/>
        <v>10327.099999999999</v>
      </c>
      <c r="M119" s="47">
        <f t="shared" si="74"/>
        <v>6610.999999999998</v>
      </c>
      <c r="N119" s="57">
        <v>4438.6</v>
      </c>
      <c r="O119" s="81">
        <f t="shared" si="75"/>
        <v>12477.699999999999</v>
      </c>
    </row>
    <row r="120" spans="1:15" ht="15.75" hidden="1">
      <c r="A120" s="86" t="s">
        <v>69</v>
      </c>
      <c r="B120" s="47">
        <v>825.8</v>
      </c>
      <c r="C120" s="47">
        <v>6431.7</v>
      </c>
      <c r="D120" s="53">
        <v>-3701.1</v>
      </c>
      <c r="E120" s="56">
        <v>-116.3</v>
      </c>
      <c r="F120" s="45">
        <f t="shared" si="71"/>
        <v>2614.2999999999997</v>
      </c>
      <c r="G120" s="56">
        <v>198.9</v>
      </c>
      <c r="H120" s="55">
        <v>-384.9</v>
      </c>
      <c r="I120" s="51">
        <v>0</v>
      </c>
      <c r="J120" s="115">
        <v>-704.4</v>
      </c>
      <c r="K120" s="118">
        <f t="shared" si="72"/>
        <v>-704.4</v>
      </c>
      <c r="L120" s="45">
        <f t="shared" si="73"/>
        <v>-890.4</v>
      </c>
      <c r="M120" s="47">
        <f t="shared" si="74"/>
        <v>1723.8999999999996</v>
      </c>
      <c r="N120" s="57">
        <v>5430.1</v>
      </c>
      <c r="O120" s="81">
        <f t="shared" si="75"/>
        <v>7979.8</v>
      </c>
    </row>
    <row r="121" spans="1:15" ht="15.75" hidden="1">
      <c r="A121" s="86" t="s">
        <v>26</v>
      </c>
      <c r="B121" s="47">
        <v>2957.1</v>
      </c>
      <c r="C121" s="47">
        <v>11262.3</v>
      </c>
      <c r="D121" s="53">
        <v>82.9</v>
      </c>
      <c r="E121" s="56">
        <f>2397.2-2644.9</f>
        <v>-247.70000000000027</v>
      </c>
      <c r="F121" s="45">
        <f t="shared" si="71"/>
        <v>11097.499999999998</v>
      </c>
      <c r="G121" s="56" t="s">
        <v>6</v>
      </c>
      <c r="H121" s="55">
        <v>-844.5</v>
      </c>
      <c r="I121" s="51">
        <v>0</v>
      </c>
      <c r="J121" s="115">
        <v>2094.1</v>
      </c>
      <c r="K121" s="118">
        <f t="shared" si="72"/>
        <v>2094.1</v>
      </c>
      <c r="L121" s="45">
        <f t="shared" si="73"/>
        <v>1249.6</v>
      </c>
      <c r="M121" s="47">
        <f t="shared" si="74"/>
        <v>12347.099999999999</v>
      </c>
      <c r="N121" s="57">
        <v>-3170.3</v>
      </c>
      <c r="O121" s="81">
        <f t="shared" si="75"/>
        <v>12133.9</v>
      </c>
    </row>
    <row r="122" spans="1:15" ht="15.75" hidden="1">
      <c r="A122" s="86" t="s">
        <v>71</v>
      </c>
      <c r="B122" s="47">
        <v>389.8</v>
      </c>
      <c r="C122" s="47">
        <v>8713.4</v>
      </c>
      <c r="D122" s="53">
        <v>1128.4</v>
      </c>
      <c r="E122" s="56">
        <f>3451.1-2397.2</f>
        <v>1053.9</v>
      </c>
      <c r="F122" s="45">
        <f t="shared" si="71"/>
        <v>10895.699999999999</v>
      </c>
      <c r="G122" s="56">
        <v>-0.1</v>
      </c>
      <c r="H122" s="55">
        <v>-47.1</v>
      </c>
      <c r="I122" s="51">
        <v>0</v>
      </c>
      <c r="J122" s="115">
        <v>4596.5</v>
      </c>
      <c r="K122" s="118">
        <f t="shared" si="72"/>
        <v>4596.5</v>
      </c>
      <c r="L122" s="45">
        <f t="shared" si="73"/>
        <v>4549.299999999999</v>
      </c>
      <c r="M122" s="47">
        <f t="shared" si="74"/>
        <v>15444.999999999998</v>
      </c>
      <c r="N122" s="57">
        <v>-11653.1</v>
      </c>
      <c r="O122" s="81">
        <f t="shared" si="75"/>
        <v>4181.699999999998</v>
      </c>
    </row>
    <row r="123" spans="1:15" ht="15.75" hidden="1">
      <c r="A123" s="86" t="s">
        <v>72</v>
      </c>
      <c r="B123" s="47">
        <v>7051.9</v>
      </c>
      <c r="C123" s="47">
        <v>6549</v>
      </c>
      <c r="D123" s="53">
        <v>1975.7</v>
      </c>
      <c r="E123" s="56">
        <f>3463.4-3451.1</f>
        <v>12.300000000000182</v>
      </c>
      <c r="F123" s="45">
        <f t="shared" si="71"/>
        <v>8537</v>
      </c>
      <c r="G123" s="56">
        <v>0.1</v>
      </c>
      <c r="H123" s="55">
        <v>-131.9</v>
      </c>
      <c r="I123" s="51">
        <v>0</v>
      </c>
      <c r="J123" s="115">
        <v>7511.9</v>
      </c>
      <c r="K123" s="118">
        <f t="shared" si="72"/>
        <v>7511.9</v>
      </c>
      <c r="L123" s="45">
        <f t="shared" si="73"/>
        <v>7380.1</v>
      </c>
      <c r="M123" s="47">
        <f t="shared" si="74"/>
        <v>15917.1</v>
      </c>
      <c r="N123" s="57">
        <v>-1539.8</v>
      </c>
      <c r="O123" s="81">
        <f t="shared" si="75"/>
        <v>21429.2</v>
      </c>
    </row>
    <row r="124" spans="1:15" ht="15.75" hidden="1">
      <c r="A124" s="86" t="s">
        <v>73</v>
      </c>
      <c r="B124" s="47">
        <v>-5149.8</v>
      </c>
      <c r="C124" s="47">
        <v>4677</v>
      </c>
      <c r="D124" s="53">
        <v>2462.9</v>
      </c>
      <c r="E124" s="51">
        <v>0</v>
      </c>
      <c r="F124" s="45">
        <f t="shared" si="71"/>
        <v>7139.9</v>
      </c>
      <c r="G124" s="56" t="s">
        <v>6</v>
      </c>
      <c r="H124" s="55">
        <v>-70.2</v>
      </c>
      <c r="I124" s="51">
        <v>0</v>
      </c>
      <c r="J124" s="115">
        <v>-31554.5</v>
      </c>
      <c r="K124" s="118">
        <f t="shared" si="72"/>
        <v>-31554.5</v>
      </c>
      <c r="L124" s="45">
        <f t="shared" si="73"/>
        <v>-31624.7</v>
      </c>
      <c r="M124" s="47">
        <f t="shared" si="74"/>
        <v>-24484.800000000003</v>
      </c>
      <c r="N124" s="57">
        <v>-28463.6</v>
      </c>
      <c r="O124" s="81">
        <f t="shared" si="75"/>
        <v>-58098.200000000004</v>
      </c>
    </row>
    <row r="125" spans="1:15" ht="15.75" hidden="1">
      <c r="A125" s="78"/>
      <c r="B125" s="47"/>
      <c r="C125" s="47"/>
      <c r="D125" s="47"/>
      <c r="E125" s="47"/>
      <c r="F125" s="47"/>
      <c r="G125" s="47"/>
      <c r="H125" s="47"/>
      <c r="I125" s="51">
        <v>0</v>
      </c>
      <c r="J125" s="116"/>
      <c r="K125" s="118"/>
      <c r="L125" s="45"/>
      <c r="M125" s="45"/>
      <c r="N125" s="47"/>
      <c r="O125" s="81"/>
    </row>
    <row r="126" spans="1:15" ht="15.75" hidden="1">
      <c r="A126" s="78" t="s">
        <v>32</v>
      </c>
      <c r="B126" s="47">
        <v>20071.7</v>
      </c>
      <c r="C126" s="47">
        <v>-45124.1</v>
      </c>
      <c r="D126" s="53">
        <v>10659</v>
      </c>
      <c r="E126" s="56">
        <v>-92.2</v>
      </c>
      <c r="F126" s="45">
        <f>+C126+D126+E126</f>
        <v>-34557.299999999996</v>
      </c>
      <c r="G126" s="56">
        <v>-318.2</v>
      </c>
      <c r="H126" s="55">
        <f>869-3155.5</f>
        <v>-2286.5</v>
      </c>
      <c r="I126" s="51">
        <v>0</v>
      </c>
      <c r="J126" s="115">
        <v>6056.9</v>
      </c>
      <c r="K126" s="118">
        <f>+I126+J126</f>
        <v>6056.9</v>
      </c>
      <c r="L126" s="45">
        <f>K126+H126+G126</f>
        <v>3452.2</v>
      </c>
      <c r="M126" s="47">
        <f>+F126+L126</f>
        <v>-31105.099999999995</v>
      </c>
      <c r="N126" s="57">
        <v>12687.5</v>
      </c>
      <c r="O126" s="81">
        <f>M126+N126+B126</f>
        <v>1654.1000000000058</v>
      </c>
    </row>
    <row r="127" spans="1:15" ht="15.75" hidden="1">
      <c r="A127" s="86" t="s">
        <v>66</v>
      </c>
      <c r="B127" s="47">
        <v>86</v>
      </c>
      <c r="C127" s="47">
        <v>-4843.8</v>
      </c>
      <c r="D127" s="47">
        <v>8413.3</v>
      </c>
      <c r="E127" s="47">
        <v>26.8</v>
      </c>
      <c r="F127" s="47">
        <v>3596.3</v>
      </c>
      <c r="G127" s="47">
        <v>293.7</v>
      </c>
      <c r="H127" s="47">
        <v>1225.8</v>
      </c>
      <c r="I127" s="51">
        <v>0</v>
      </c>
      <c r="J127" s="116">
        <v>7742</v>
      </c>
      <c r="K127" s="118">
        <f>+I127+J127</f>
        <v>7742</v>
      </c>
      <c r="L127" s="45">
        <f>K127+H127+G127</f>
        <v>9261.5</v>
      </c>
      <c r="M127" s="47">
        <f>+F127+L127</f>
        <v>12857.8</v>
      </c>
      <c r="N127" s="47">
        <v>-6339.2</v>
      </c>
      <c r="O127" s="81">
        <f>M127+N127+B127</f>
        <v>6604.599999999999</v>
      </c>
    </row>
    <row r="128" spans="1:15" s="5" customFormat="1" ht="15.75" hidden="1">
      <c r="A128" s="86" t="s">
        <v>75</v>
      </c>
      <c r="B128" s="58">
        <v>-5.3</v>
      </c>
      <c r="C128" s="58">
        <v>8399.7</v>
      </c>
      <c r="D128" s="58">
        <v>473.8</v>
      </c>
      <c r="E128" s="58">
        <v>14.3</v>
      </c>
      <c r="F128" s="58">
        <v>8887.8</v>
      </c>
      <c r="G128" s="51">
        <v>0</v>
      </c>
      <c r="H128" s="58">
        <v>-2207</v>
      </c>
      <c r="I128" s="51">
        <v>0</v>
      </c>
      <c r="J128" s="117">
        <v>-7931.3</v>
      </c>
      <c r="K128" s="118">
        <f>+I128+J128</f>
        <v>-7931.3</v>
      </c>
      <c r="L128" s="45">
        <f>K128+H128+G128</f>
        <v>-10138.3</v>
      </c>
      <c r="M128" s="47">
        <f>+F128+L128</f>
        <v>-1250.5</v>
      </c>
      <c r="N128" s="58">
        <v>11028.8</v>
      </c>
      <c r="O128" s="81">
        <f>M128+N128+B128</f>
        <v>9773</v>
      </c>
    </row>
    <row r="129" spans="1:15" ht="15.75" hidden="1">
      <c r="A129" s="86" t="s">
        <v>76</v>
      </c>
      <c r="B129" s="4">
        <v>5732.9</v>
      </c>
      <c r="C129" s="58">
        <v>-4647.4</v>
      </c>
      <c r="D129" s="4">
        <v>8934.5</v>
      </c>
      <c r="E129" s="4">
        <v>1536.7</v>
      </c>
      <c r="F129" s="4">
        <v>5823.8</v>
      </c>
      <c r="G129" s="51">
        <v>0</v>
      </c>
      <c r="H129" s="4">
        <v>2936.9</v>
      </c>
      <c r="I129" s="4"/>
      <c r="J129" s="4">
        <v>11102.4</v>
      </c>
      <c r="K129" s="118">
        <f>+I129+J129</f>
        <v>11102.4</v>
      </c>
      <c r="L129" s="45">
        <f>K129+H129+G129</f>
        <v>14039.3</v>
      </c>
      <c r="M129" s="47">
        <f>+F129+L129</f>
        <v>19863.1</v>
      </c>
      <c r="N129" s="113">
        <v>-32003.8</v>
      </c>
      <c r="O129" s="75">
        <f>M129+N129+B129</f>
        <v>-6407.800000000001</v>
      </c>
    </row>
    <row r="130" spans="1:15" ht="15.75" hidden="1">
      <c r="A130" s="86" t="s">
        <v>77</v>
      </c>
      <c r="B130" s="47">
        <v>6564.4</v>
      </c>
      <c r="C130" s="47">
        <v>13298</v>
      </c>
      <c r="D130" s="53">
        <v>2806.2</v>
      </c>
      <c r="E130" s="56">
        <v>-674.8</v>
      </c>
      <c r="F130" s="45">
        <f aca="true" t="shared" si="76" ref="F130:F137">+C130+D130+E130</f>
        <v>15429.400000000001</v>
      </c>
      <c r="G130" s="51">
        <v>0</v>
      </c>
      <c r="H130" s="55">
        <v>-293.9</v>
      </c>
      <c r="I130" s="51">
        <v>0</v>
      </c>
      <c r="J130" s="115">
        <v>2537.5</v>
      </c>
      <c r="K130" s="118">
        <f aca="true" t="shared" si="77" ref="K130:K137">+I130+J130</f>
        <v>2537.5</v>
      </c>
      <c r="L130" s="45">
        <f aca="true" t="shared" si="78" ref="L130:L137">K130+H130+G130</f>
        <v>2243.6</v>
      </c>
      <c r="M130" s="47">
        <f aca="true" t="shared" si="79" ref="M130:M137">+F130+L130</f>
        <v>17673</v>
      </c>
      <c r="N130" s="57">
        <v>-10513.6</v>
      </c>
      <c r="O130" s="81">
        <f aca="true" t="shared" si="80" ref="O130:O137">M130+N130+B130</f>
        <v>13723.8</v>
      </c>
    </row>
    <row r="131" spans="1:15" ht="15.75" hidden="1">
      <c r="A131" s="86" t="s">
        <v>67</v>
      </c>
      <c r="B131" s="47">
        <v>161</v>
      </c>
      <c r="C131" s="47">
        <v>12698.1</v>
      </c>
      <c r="D131" s="53">
        <v>2706.9</v>
      </c>
      <c r="E131" s="56">
        <v>595.5</v>
      </c>
      <c r="F131" s="45">
        <f t="shared" si="76"/>
        <v>16000.5</v>
      </c>
      <c r="G131" s="51">
        <v>0</v>
      </c>
      <c r="H131" s="55">
        <v>977.2</v>
      </c>
      <c r="I131" s="51">
        <v>0</v>
      </c>
      <c r="J131" s="115">
        <v>-2510.2</v>
      </c>
      <c r="K131" s="118">
        <f t="shared" si="77"/>
        <v>-2510.2</v>
      </c>
      <c r="L131" s="45">
        <f t="shared" si="78"/>
        <v>-1532.9999999999998</v>
      </c>
      <c r="M131" s="47">
        <f t="shared" si="79"/>
        <v>14467.5</v>
      </c>
      <c r="N131" s="57">
        <v>-44.1</v>
      </c>
      <c r="O131" s="81">
        <f t="shared" si="80"/>
        <v>14584.4</v>
      </c>
    </row>
    <row r="132" spans="1:15" ht="15.75" hidden="1">
      <c r="A132" s="86" t="s">
        <v>68</v>
      </c>
      <c r="B132" s="47">
        <v>4364.2</v>
      </c>
      <c r="C132" s="47">
        <v>2292.8</v>
      </c>
      <c r="D132" s="53">
        <v>-2335.8</v>
      </c>
      <c r="E132" s="56">
        <v>-873.5</v>
      </c>
      <c r="F132" s="45">
        <f t="shared" si="76"/>
        <v>-916.5</v>
      </c>
      <c r="G132" s="51">
        <v>0</v>
      </c>
      <c r="H132" s="55">
        <v>993.2</v>
      </c>
      <c r="I132" s="51">
        <v>0</v>
      </c>
      <c r="J132" s="115">
        <v>3782.4</v>
      </c>
      <c r="K132" s="118">
        <f t="shared" si="77"/>
        <v>3782.4</v>
      </c>
      <c r="L132" s="45">
        <f t="shared" si="78"/>
        <v>4775.6</v>
      </c>
      <c r="M132" s="47">
        <f t="shared" si="79"/>
        <v>3859.1000000000004</v>
      </c>
      <c r="N132" s="57">
        <v>-810.2</v>
      </c>
      <c r="O132" s="81">
        <f t="shared" si="80"/>
        <v>7413.1</v>
      </c>
    </row>
    <row r="133" spans="1:15" ht="15.75" hidden="1">
      <c r="A133" s="86" t="s">
        <v>69</v>
      </c>
      <c r="B133" s="47">
        <v>497.6</v>
      </c>
      <c r="C133" s="47">
        <v>3194.6</v>
      </c>
      <c r="D133" s="53">
        <v>-8811.8</v>
      </c>
      <c r="E133" s="56">
        <v>-104.4</v>
      </c>
      <c r="F133" s="45">
        <f t="shared" si="76"/>
        <v>-5721.5999999999985</v>
      </c>
      <c r="G133" s="51">
        <v>0</v>
      </c>
      <c r="H133" s="55">
        <v>2045.9</v>
      </c>
      <c r="I133" s="51">
        <v>0</v>
      </c>
      <c r="J133" s="115">
        <v>-4262.9</v>
      </c>
      <c r="K133" s="118">
        <f t="shared" si="77"/>
        <v>-4262.9</v>
      </c>
      <c r="L133" s="45">
        <f t="shared" si="78"/>
        <v>-2216.9999999999995</v>
      </c>
      <c r="M133" s="47">
        <f t="shared" si="79"/>
        <v>-7938.5999999999985</v>
      </c>
      <c r="N133" s="57">
        <v>16081.3</v>
      </c>
      <c r="O133" s="81">
        <f t="shared" si="80"/>
        <v>8640.300000000001</v>
      </c>
    </row>
    <row r="134" spans="1:15" ht="15.75" hidden="1">
      <c r="A134" s="86" t="s">
        <v>26</v>
      </c>
      <c r="B134" s="47">
        <v>17127.6</v>
      </c>
      <c r="C134" s="47">
        <v>187.7</v>
      </c>
      <c r="D134" s="53">
        <v>-440.8</v>
      </c>
      <c r="E134" s="56">
        <v>-89.2</v>
      </c>
      <c r="F134" s="45">
        <f t="shared" si="76"/>
        <v>-342.3</v>
      </c>
      <c r="G134" s="51">
        <v>0</v>
      </c>
      <c r="H134" s="55">
        <v>552.1</v>
      </c>
      <c r="I134" s="51">
        <v>0</v>
      </c>
      <c r="J134" s="115">
        <v>7167.3</v>
      </c>
      <c r="K134" s="118">
        <f t="shared" si="77"/>
        <v>7167.3</v>
      </c>
      <c r="L134" s="45">
        <f t="shared" si="78"/>
        <v>7719.400000000001</v>
      </c>
      <c r="M134" s="47">
        <f t="shared" si="79"/>
        <v>7377.1</v>
      </c>
      <c r="N134" s="57">
        <v>-23517.2</v>
      </c>
      <c r="O134" s="81">
        <f t="shared" si="80"/>
        <v>987.4999999999982</v>
      </c>
    </row>
    <row r="135" spans="1:15" ht="15.75" hidden="1">
      <c r="A135" s="86" t="s">
        <v>71</v>
      </c>
      <c r="B135" s="47">
        <v>507.4</v>
      </c>
      <c r="C135" s="47">
        <v>28355.7</v>
      </c>
      <c r="D135" s="53">
        <v>-14873.7</v>
      </c>
      <c r="E135" s="56">
        <v>96.2</v>
      </c>
      <c r="F135" s="45">
        <f t="shared" si="76"/>
        <v>13578.2</v>
      </c>
      <c r="G135" s="51">
        <v>0</v>
      </c>
      <c r="H135" s="55">
        <v>2334.3</v>
      </c>
      <c r="I135" s="51">
        <v>0</v>
      </c>
      <c r="J135" s="115">
        <v>-6474.4</v>
      </c>
      <c r="K135" s="118">
        <f t="shared" si="77"/>
        <v>-6474.4</v>
      </c>
      <c r="L135" s="45">
        <f t="shared" si="78"/>
        <v>-4140.099999999999</v>
      </c>
      <c r="M135" s="47">
        <f t="shared" si="79"/>
        <v>9438.100000000002</v>
      </c>
      <c r="N135" s="57">
        <v>-5976.7</v>
      </c>
      <c r="O135" s="81">
        <f t="shared" si="80"/>
        <v>3968.8000000000025</v>
      </c>
    </row>
    <row r="136" spans="1:15" ht="15.75" hidden="1">
      <c r="A136" s="86" t="s">
        <v>72</v>
      </c>
      <c r="B136" s="47">
        <v>9817.8</v>
      </c>
      <c r="C136" s="47">
        <v>3672.5</v>
      </c>
      <c r="D136" s="53">
        <v>6663</v>
      </c>
      <c r="E136" s="56">
        <v>51.9</v>
      </c>
      <c r="F136" s="45">
        <f t="shared" si="76"/>
        <v>10387.4</v>
      </c>
      <c r="G136" s="56">
        <v>-293.7</v>
      </c>
      <c r="H136" s="55">
        <v>-202.5</v>
      </c>
      <c r="I136" s="51">
        <v>0</v>
      </c>
      <c r="J136" s="115">
        <v>11788.6</v>
      </c>
      <c r="K136" s="118">
        <f t="shared" si="77"/>
        <v>11788.6</v>
      </c>
      <c r="L136" s="45">
        <f t="shared" si="78"/>
        <v>11292.4</v>
      </c>
      <c r="M136" s="47">
        <f t="shared" si="79"/>
        <v>21679.8</v>
      </c>
      <c r="N136" s="57">
        <v>-6754.1</v>
      </c>
      <c r="O136" s="81">
        <f t="shared" si="80"/>
        <v>24743.5</v>
      </c>
    </row>
    <row r="137" spans="1:15" ht="15.75" hidden="1">
      <c r="A137" s="86" t="s">
        <v>73</v>
      </c>
      <c r="B137" s="47">
        <v>-55592.6</v>
      </c>
      <c r="C137" s="47">
        <v>-44824.5</v>
      </c>
      <c r="D137" s="53">
        <v>6441.2</v>
      </c>
      <c r="E137" s="56">
        <v>1015.2</v>
      </c>
      <c r="F137" s="45">
        <f t="shared" si="76"/>
        <v>-37368.100000000006</v>
      </c>
      <c r="G137" s="51">
        <v>0</v>
      </c>
      <c r="H137" s="55">
        <v>284.9</v>
      </c>
      <c r="I137" s="51">
        <v>0</v>
      </c>
      <c r="J137" s="115">
        <v>-24996.1</v>
      </c>
      <c r="K137" s="118">
        <f t="shared" si="77"/>
        <v>-24996.1</v>
      </c>
      <c r="L137" s="45">
        <f t="shared" si="78"/>
        <v>-24711.199999999997</v>
      </c>
      <c r="M137" s="47">
        <f t="shared" si="79"/>
        <v>-62079.3</v>
      </c>
      <c r="N137" s="57">
        <v>62723.3</v>
      </c>
      <c r="O137" s="81">
        <f t="shared" si="80"/>
        <v>-54948.6</v>
      </c>
    </row>
    <row r="138" spans="1:15" ht="15.75" hidden="1">
      <c r="A138" s="86"/>
      <c r="B138" s="47"/>
      <c r="C138" s="47"/>
      <c r="D138" s="53"/>
      <c r="E138" s="56"/>
      <c r="F138" s="45"/>
      <c r="G138" s="56"/>
      <c r="H138" s="55"/>
      <c r="I138" s="51"/>
      <c r="J138" s="115"/>
      <c r="K138" s="118"/>
      <c r="L138" s="45"/>
      <c r="M138" s="48"/>
      <c r="N138" s="57"/>
      <c r="O138" s="81"/>
    </row>
    <row r="139" spans="1:15" ht="15.75" hidden="1">
      <c r="A139" s="78" t="s">
        <v>37</v>
      </c>
      <c r="B139" s="47">
        <v>14489.2</v>
      </c>
      <c r="C139" s="47">
        <v>-27170.7</v>
      </c>
      <c r="D139" s="53">
        <v>17059.9</v>
      </c>
      <c r="E139" s="56">
        <v>-134.7</v>
      </c>
      <c r="F139" s="45">
        <f aca="true" t="shared" si="81" ref="F139:F150">+C139+D139+E139</f>
        <v>-10245.5</v>
      </c>
      <c r="G139" s="56">
        <v>506.8</v>
      </c>
      <c r="H139" s="55">
        <v>8373.7</v>
      </c>
      <c r="I139" s="51">
        <v>0</v>
      </c>
      <c r="J139" s="115">
        <v>11195.5</v>
      </c>
      <c r="K139" s="118">
        <f aca="true" t="shared" si="82" ref="K139:K150">+I139+J139</f>
        <v>11195.5</v>
      </c>
      <c r="L139" s="45">
        <f aca="true" t="shared" si="83" ref="L139:L150">K139+H139+G139</f>
        <v>20076</v>
      </c>
      <c r="M139" s="47">
        <f aca="true" t="shared" si="84" ref="M139:M150">+F139+L139</f>
        <v>9830.5</v>
      </c>
      <c r="N139" s="57">
        <v>-31267.7</v>
      </c>
      <c r="O139" s="81">
        <f aca="true" t="shared" si="85" ref="O139:O150">M139+N139+B139</f>
        <v>-6948</v>
      </c>
    </row>
    <row r="140" spans="1:15" ht="15.75" hidden="1">
      <c r="A140" s="86" t="s">
        <v>66</v>
      </c>
      <c r="B140" s="47">
        <v>901.2</v>
      </c>
      <c r="C140" s="47">
        <v>9969.6</v>
      </c>
      <c r="D140" s="53">
        <v>3173.8</v>
      </c>
      <c r="E140" s="56">
        <v>-315</v>
      </c>
      <c r="F140" s="45">
        <f t="shared" si="81"/>
        <v>12828.400000000001</v>
      </c>
      <c r="G140" s="51">
        <v>0</v>
      </c>
      <c r="H140" s="55">
        <v>2100</v>
      </c>
      <c r="I140" s="51">
        <v>0</v>
      </c>
      <c r="J140" s="115">
        <v>-2037.2</v>
      </c>
      <c r="K140" s="118">
        <f t="shared" si="82"/>
        <v>-2037.2</v>
      </c>
      <c r="L140" s="45">
        <f t="shared" si="83"/>
        <v>62.799999999999955</v>
      </c>
      <c r="M140" s="47">
        <f t="shared" si="84"/>
        <v>12891.2</v>
      </c>
      <c r="N140" s="57">
        <v>1888.8</v>
      </c>
      <c r="O140" s="81">
        <f t="shared" si="85"/>
        <v>15681.2</v>
      </c>
    </row>
    <row r="141" spans="1:15" ht="15.75" hidden="1">
      <c r="A141" s="86" t="s">
        <v>75</v>
      </c>
      <c r="B141" s="47">
        <v>23806.1</v>
      </c>
      <c r="C141" s="47">
        <v>7615.5</v>
      </c>
      <c r="D141" s="53">
        <v>-336.9</v>
      </c>
      <c r="E141" s="56">
        <v>46.4</v>
      </c>
      <c r="F141" s="45">
        <f t="shared" si="81"/>
        <v>7325</v>
      </c>
      <c r="G141" s="51">
        <v>0</v>
      </c>
      <c r="H141" s="55">
        <v>-200</v>
      </c>
      <c r="I141" s="51">
        <v>0</v>
      </c>
      <c r="J141" s="115">
        <v>6366</v>
      </c>
      <c r="K141" s="118">
        <f t="shared" si="82"/>
        <v>6366</v>
      </c>
      <c r="L141" s="45">
        <f t="shared" si="83"/>
        <v>6166</v>
      </c>
      <c r="M141" s="47">
        <f t="shared" si="84"/>
        <v>13491</v>
      </c>
      <c r="N141" s="57">
        <v>-36986</v>
      </c>
      <c r="O141" s="81">
        <f t="shared" si="85"/>
        <v>311.09999999999854</v>
      </c>
    </row>
    <row r="142" spans="1:15" ht="15.75" hidden="1">
      <c r="A142" s="86" t="s">
        <v>76</v>
      </c>
      <c r="B142" s="47">
        <v>2044.8</v>
      </c>
      <c r="C142" s="47">
        <v>6965.8</v>
      </c>
      <c r="D142" s="53">
        <v>-1065.4</v>
      </c>
      <c r="E142" s="56">
        <v>2428.3</v>
      </c>
      <c r="F142" s="45">
        <f t="shared" si="81"/>
        <v>8328.7</v>
      </c>
      <c r="G142" s="51">
        <v>0</v>
      </c>
      <c r="H142" s="55">
        <v>-100</v>
      </c>
      <c r="I142" s="51">
        <v>0</v>
      </c>
      <c r="J142" s="115">
        <v>2745</v>
      </c>
      <c r="K142" s="118">
        <f t="shared" si="82"/>
        <v>2745</v>
      </c>
      <c r="L142" s="45">
        <f t="shared" si="83"/>
        <v>2645</v>
      </c>
      <c r="M142" s="47">
        <f t="shared" si="84"/>
        <v>10973.7</v>
      </c>
      <c r="N142" s="59">
        <v>-461.7</v>
      </c>
      <c r="O142" s="81">
        <f t="shared" si="85"/>
        <v>12556.8</v>
      </c>
    </row>
    <row r="143" spans="1:15" ht="15.75" hidden="1">
      <c r="A143" s="86" t="s">
        <v>77</v>
      </c>
      <c r="B143" s="47">
        <v>-687.5</v>
      </c>
      <c r="C143" s="47">
        <v>4529.1</v>
      </c>
      <c r="D143" s="53">
        <v>-4750</v>
      </c>
      <c r="E143" s="56">
        <v>-3043.7</v>
      </c>
      <c r="F143" s="48">
        <f t="shared" si="81"/>
        <v>-3264.5999999999995</v>
      </c>
      <c r="G143" s="51">
        <v>0</v>
      </c>
      <c r="H143" s="55">
        <v>2700</v>
      </c>
      <c r="I143" s="51">
        <v>0</v>
      </c>
      <c r="J143" s="115">
        <v>-5677.4</v>
      </c>
      <c r="K143" s="118">
        <f t="shared" si="82"/>
        <v>-5677.4</v>
      </c>
      <c r="L143" s="45">
        <f t="shared" si="83"/>
        <v>-2977.3999999999996</v>
      </c>
      <c r="M143" s="47">
        <f t="shared" si="84"/>
        <v>-6241.999999999999</v>
      </c>
      <c r="N143" s="57">
        <v>15278.5</v>
      </c>
      <c r="O143" s="81">
        <f t="shared" si="85"/>
        <v>8349</v>
      </c>
    </row>
    <row r="144" spans="1:15" ht="15.75" hidden="1">
      <c r="A144" s="86" t="s">
        <v>67</v>
      </c>
      <c r="B144" s="47">
        <v>-1013.3</v>
      </c>
      <c r="C144" s="47">
        <v>7035.2</v>
      </c>
      <c r="D144" s="53">
        <v>1294.3</v>
      </c>
      <c r="E144" s="56">
        <v>2654.9</v>
      </c>
      <c r="F144" s="48">
        <f t="shared" si="81"/>
        <v>10984.4</v>
      </c>
      <c r="G144" s="51">
        <v>0</v>
      </c>
      <c r="H144" s="55">
        <v>200</v>
      </c>
      <c r="I144" s="51">
        <v>0</v>
      </c>
      <c r="J144" s="115">
        <v>14793.5</v>
      </c>
      <c r="K144" s="118">
        <f t="shared" si="82"/>
        <v>14793.5</v>
      </c>
      <c r="L144" s="45">
        <f t="shared" si="83"/>
        <v>14993.5</v>
      </c>
      <c r="M144" s="47">
        <f t="shared" si="84"/>
        <v>25977.9</v>
      </c>
      <c r="N144" s="57">
        <v>-18382.4</v>
      </c>
      <c r="O144" s="81">
        <f t="shared" si="85"/>
        <v>6582.2</v>
      </c>
    </row>
    <row r="145" spans="1:15" ht="15.75" hidden="1">
      <c r="A145" s="86" t="s">
        <v>68</v>
      </c>
      <c r="B145" s="47">
        <v>301.7</v>
      </c>
      <c r="C145" s="47">
        <v>-2588.9</v>
      </c>
      <c r="D145" s="53">
        <v>-4986.6</v>
      </c>
      <c r="E145" s="56">
        <v>-888</v>
      </c>
      <c r="F145" s="48">
        <f t="shared" si="81"/>
        <v>-8463.5</v>
      </c>
      <c r="G145" s="56">
        <v>327</v>
      </c>
      <c r="H145" s="55">
        <v>500</v>
      </c>
      <c r="I145" s="51">
        <v>0</v>
      </c>
      <c r="J145" s="115">
        <v>28655.7</v>
      </c>
      <c r="K145" s="118">
        <f t="shared" si="82"/>
        <v>28655.7</v>
      </c>
      <c r="L145" s="45">
        <f t="shared" si="83"/>
        <v>29482.7</v>
      </c>
      <c r="M145" s="47">
        <f t="shared" si="84"/>
        <v>21019.2</v>
      </c>
      <c r="N145" s="57">
        <v>-12507</v>
      </c>
      <c r="O145" s="81">
        <f t="shared" si="85"/>
        <v>8813.900000000001</v>
      </c>
    </row>
    <row r="146" spans="1:15" ht="15.75" hidden="1">
      <c r="A146" s="86" t="s">
        <v>69</v>
      </c>
      <c r="B146" s="47">
        <v>-240.8</v>
      </c>
      <c r="C146" s="47">
        <v>4515.8</v>
      </c>
      <c r="D146" s="53">
        <v>-3321.3</v>
      </c>
      <c r="E146" s="56">
        <v>-253</v>
      </c>
      <c r="F146" s="48">
        <f t="shared" si="81"/>
        <v>941.5</v>
      </c>
      <c r="G146" s="51">
        <v>0</v>
      </c>
      <c r="H146" s="55">
        <v>800</v>
      </c>
      <c r="I146" s="51">
        <v>0</v>
      </c>
      <c r="J146" s="115">
        <v>5332.8</v>
      </c>
      <c r="K146" s="118">
        <f t="shared" si="82"/>
        <v>5332.8</v>
      </c>
      <c r="L146" s="45">
        <f t="shared" si="83"/>
        <v>6132.8</v>
      </c>
      <c r="M146" s="47">
        <f t="shared" si="84"/>
        <v>7074.3</v>
      </c>
      <c r="N146" s="57">
        <v>-2556.7</v>
      </c>
      <c r="O146" s="81">
        <f t="shared" si="85"/>
        <v>4276.8</v>
      </c>
    </row>
    <row r="147" spans="1:15" ht="15.75" hidden="1">
      <c r="A147" s="86" t="s">
        <v>26</v>
      </c>
      <c r="B147" s="47">
        <v>-1265.3</v>
      </c>
      <c r="C147" s="47">
        <v>-13514</v>
      </c>
      <c r="D147" s="53">
        <v>7965</v>
      </c>
      <c r="E147" s="56">
        <v>1311.1</v>
      </c>
      <c r="F147" s="48">
        <f t="shared" si="81"/>
        <v>-4237.9</v>
      </c>
      <c r="G147" s="51">
        <v>0</v>
      </c>
      <c r="H147" s="55">
        <v>-1340</v>
      </c>
      <c r="I147" s="51">
        <v>0</v>
      </c>
      <c r="J147" s="115">
        <v>-10506.1</v>
      </c>
      <c r="K147" s="118">
        <f t="shared" si="82"/>
        <v>-10506.1</v>
      </c>
      <c r="L147" s="45">
        <f t="shared" si="83"/>
        <v>-11846.1</v>
      </c>
      <c r="M147" s="47">
        <f t="shared" si="84"/>
        <v>-16084</v>
      </c>
      <c r="N147" s="57">
        <v>13904.3</v>
      </c>
      <c r="O147" s="81">
        <f t="shared" si="85"/>
        <v>-3445.000000000001</v>
      </c>
    </row>
    <row r="148" spans="1:15" ht="15.75" hidden="1">
      <c r="A148" s="86" t="s">
        <v>71</v>
      </c>
      <c r="B148" s="47">
        <v>-1034</v>
      </c>
      <c r="C148" s="47">
        <v>-12686.1</v>
      </c>
      <c r="D148" s="53">
        <v>-868.4</v>
      </c>
      <c r="E148" s="51">
        <v>0</v>
      </c>
      <c r="F148" s="48">
        <f t="shared" si="81"/>
        <v>-13554.5</v>
      </c>
      <c r="G148" s="51">
        <v>0</v>
      </c>
      <c r="H148" s="55">
        <v>-1300</v>
      </c>
      <c r="I148" s="51">
        <v>0</v>
      </c>
      <c r="J148" s="115">
        <v>-10367.1</v>
      </c>
      <c r="K148" s="118">
        <f t="shared" si="82"/>
        <v>-10367.1</v>
      </c>
      <c r="L148" s="45">
        <f t="shared" si="83"/>
        <v>-11667.1</v>
      </c>
      <c r="M148" s="47">
        <f t="shared" si="84"/>
        <v>-25221.6</v>
      </c>
      <c r="N148" s="57">
        <v>6387.6</v>
      </c>
      <c r="O148" s="81">
        <f t="shared" si="85"/>
        <v>-19868</v>
      </c>
    </row>
    <row r="149" spans="1:15" ht="15.75" hidden="1">
      <c r="A149" s="86" t="s">
        <v>72</v>
      </c>
      <c r="B149" s="47">
        <v>1306.9</v>
      </c>
      <c r="C149" s="47">
        <v>-16507.7</v>
      </c>
      <c r="D149" s="53">
        <v>5649</v>
      </c>
      <c r="E149" s="51">
        <v>0</v>
      </c>
      <c r="F149" s="48">
        <f t="shared" si="81"/>
        <v>-10858.7</v>
      </c>
      <c r="G149" s="51">
        <v>0</v>
      </c>
      <c r="H149" s="55">
        <v>600</v>
      </c>
      <c r="I149" s="51">
        <v>0</v>
      </c>
      <c r="J149" s="115">
        <v>-2779.3</v>
      </c>
      <c r="K149" s="118">
        <f t="shared" si="82"/>
        <v>-2779.3</v>
      </c>
      <c r="L149" s="45">
        <f t="shared" si="83"/>
        <v>-2179.3</v>
      </c>
      <c r="M149" s="47">
        <f t="shared" si="84"/>
        <v>-13038</v>
      </c>
      <c r="N149" s="57">
        <v>8985</v>
      </c>
      <c r="O149" s="81">
        <f t="shared" si="85"/>
        <v>-2746.1</v>
      </c>
    </row>
    <row r="150" spans="1:15" ht="15.75" hidden="1">
      <c r="A150" s="86" t="s">
        <v>73</v>
      </c>
      <c r="B150" s="47">
        <v>9917.2</v>
      </c>
      <c r="C150" s="47">
        <v>20124.7</v>
      </c>
      <c r="D150" s="53">
        <v>8380.1</v>
      </c>
      <c r="E150" s="51">
        <v>0</v>
      </c>
      <c r="F150" s="48">
        <f t="shared" si="81"/>
        <v>28504.800000000003</v>
      </c>
      <c r="G150" s="51">
        <v>0</v>
      </c>
      <c r="H150" s="55">
        <v>-60</v>
      </c>
      <c r="I150" s="51">
        <v>0</v>
      </c>
      <c r="J150" s="115">
        <v>-37703</v>
      </c>
      <c r="K150" s="118">
        <f t="shared" si="82"/>
        <v>-37703</v>
      </c>
      <c r="L150" s="45">
        <f t="shared" si="83"/>
        <v>-37763</v>
      </c>
      <c r="M150" s="47">
        <f t="shared" si="84"/>
        <v>-9258.199999999997</v>
      </c>
      <c r="N150" s="57">
        <v>6027.6</v>
      </c>
      <c r="O150" s="81">
        <f t="shared" si="85"/>
        <v>6686.600000000004</v>
      </c>
    </row>
    <row r="151" spans="1:15" ht="15.75" hidden="1">
      <c r="A151" s="78"/>
      <c r="B151" s="56"/>
      <c r="C151" s="56"/>
      <c r="D151" s="56"/>
      <c r="E151" s="63"/>
      <c r="F151" s="61"/>
      <c r="G151" s="51"/>
      <c r="H151" s="56"/>
      <c r="I151" s="56"/>
      <c r="J151" s="51"/>
      <c r="K151" s="49"/>
      <c r="L151" s="61"/>
      <c r="M151" s="61"/>
      <c r="N151" s="56"/>
      <c r="O151" s="106"/>
    </row>
    <row r="152" spans="1:15" ht="15.75" hidden="1">
      <c r="A152" s="78" t="s">
        <v>40</v>
      </c>
      <c r="B152" s="47">
        <v>7953.8</v>
      </c>
      <c r="C152" s="47">
        <v>-21425.2</v>
      </c>
      <c r="D152" s="53">
        <v>-3245.2</v>
      </c>
      <c r="E152" s="56">
        <v>-2003.9</v>
      </c>
      <c r="F152" s="48">
        <f aca="true" t="shared" si="86" ref="F152:F162">+C152+D152+E152</f>
        <v>-26674.300000000003</v>
      </c>
      <c r="G152" s="51">
        <v>0</v>
      </c>
      <c r="H152" s="55">
        <v>-1300</v>
      </c>
      <c r="I152" s="51">
        <v>0</v>
      </c>
      <c r="J152" s="115">
        <v>6177.4</v>
      </c>
      <c r="K152" s="118">
        <f aca="true" t="shared" si="87" ref="K152:K163">+I152+J152</f>
        <v>6177.4</v>
      </c>
      <c r="L152" s="45">
        <f aca="true" t="shared" si="88" ref="L152:L163">K152+H152+G152</f>
        <v>4877.4</v>
      </c>
      <c r="M152" s="47">
        <f aca="true" t="shared" si="89" ref="M152:M163">+F152+L152</f>
        <v>-21796.9</v>
      </c>
      <c r="N152" s="57">
        <v>6604.5</v>
      </c>
      <c r="O152" s="81">
        <f aca="true" t="shared" si="90" ref="O152:O163">M152+N152+B152</f>
        <v>-7238.600000000001</v>
      </c>
    </row>
    <row r="153" spans="1:15" ht="15.75" hidden="1">
      <c r="A153" s="86" t="s">
        <v>66</v>
      </c>
      <c r="B153" s="47">
        <v>-1005.5</v>
      </c>
      <c r="C153" s="47">
        <v>6245.3</v>
      </c>
      <c r="D153" s="53">
        <v>4890.7</v>
      </c>
      <c r="E153" s="56">
        <v>-181.9</v>
      </c>
      <c r="F153" s="48">
        <f t="shared" si="86"/>
        <v>10954.1</v>
      </c>
      <c r="G153" s="51">
        <v>0</v>
      </c>
      <c r="H153" s="55">
        <v>-4300</v>
      </c>
      <c r="I153" s="51">
        <v>0</v>
      </c>
      <c r="J153" s="115">
        <v>-1856.2</v>
      </c>
      <c r="K153" s="118">
        <f t="shared" si="87"/>
        <v>-1856.2</v>
      </c>
      <c r="L153" s="45">
        <f t="shared" si="88"/>
        <v>-6156.2</v>
      </c>
      <c r="M153" s="47">
        <f t="shared" si="89"/>
        <v>4797.900000000001</v>
      </c>
      <c r="N153" s="57">
        <v>7599.1</v>
      </c>
      <c r="O153" s="81">
        <f t="shared" si="90"/>
        <v>11391.5</v>
      </c>
    </row>
    <row r="154" spans="1:15" ht="15.75" hidden="1">
      <c r="A154" s="86" t="s">
        <v>75</v>
      </c>
      <c r="B154" s="47">
        <v>10305.7</v>
      </c>
      <c r="C154" s="47">
        <v>2808.2</v>
      </c>
      <c r="D154" s="53">
        <v>4682</v>
      </c>
      <c r="E154" s="56">
        <v>-125.6</v>
      </c>
      <c r="F154" s="48">
        <f t="shared" si="86"/>
        <v>7364.599999999999</v>
      </c>
      <c r="G154" s="51">
        <v>0</v>
      </c>
      <c r="H154" s="55">
        <v>2400</v>
      </c>
      <c r="I154" s="51">
        <v>0</v>
      </c>
      <c r="J154" s="115">
        <v>5475.1</v>
      </c>
      <c r="K154" s="118">
        <f t="shared" si="87"/>
        <v>5475.1</v>
      </c>
      <c r="L154" s="45">
        <f t="shared" si="88"/>
        <v>7875.1</v>
      </c>
      <c r="M154" s="47">
        <f t="shared" si="89"/>
        <v>15239.7</v>
      </c>
      <c r="N154" s="57">
        <v>-21016.4</v>
      </c>
      <c r="O154" s="81">
        <f t="shared" si="90"/>
        <v>4529</v>
      </c>
    </row>
    <row r="155" spans="1:15" ht="15.75" hidden="1">
      <c r="A155" s="86" t="s">
        <v>76</v>
      </c>
      <c r="B155" s="47">
        <v>-1656</v>
      </c>
      <c r="C155" s="47">
        <v>9392.5</v>
      </c>
      <c r="D155" s="53">
        <v>3281.9</v>
      </c>
      <c r="E155" s="56">
        <v>2144.4</v>
      </c>
      <c r="F155" s="48">
        <f t="shared" si="86"/>
        <v>14818.8</v>
      </c>
      <c r="G155" s="51">
        <v>0</v>
      </c>
      <c r="H155" s="55">
        <v>-800</v>
      </c>
      <c r="I155" s="51">
        <v>0</v>
      </c>
      <c r="J155" s="115">
        <v>643.5</v>
      </c>
      <c r="K155" s="118">
        <f t="shared" si="87"/>
        <v>643.5</v>
      </c>
      <c r="L155" s="45">
        <f t="shared" si="88"/>
        <v>-156.5</v>
      </c>
      <c r="M155" s="47">
        <f t="shared" si="89"/>
        <v>14662.3</v>
      </c>
      <c r="N155" s="57">
        <v>3486.2</v>
      </c>
      <c r="O155" s="81">
        <f t="shared" si="90"/>
        <v>16492.5</v>
      </c>
    </row>
    <row r="156" spans="1:15" ht="15.75" hidden="1">
      <c r="A156" s="86" t="s">
        <v>77</v>
      </c>
      <c r="B156" s="47">
        <v>28641.4</v>
      </c>
      <c r="C156" s="47">
        <v>-29923.3</v>
      </c>
      <c r="D156" s="53">
        <v>176.1</v>
      </c>
      <c r="E156" s="56">
        <v>-2312</v>
      </c>
      <c r="F156" s="48">
        <f t="shared" si="86"/>
        <v>-32059.2</v>
      </c>
      <c r="G156" s="51">
        <v>0</v>
      </c>
      <c r="H156" s="55">
        <v>-700</v>
      </c>
      <c r="I156" s="51">
        <v>0</v>
      </c>
      <c r="J156" s="115">
        <v>1357.1</v>
      </c>
      <c r="K156" s="118">
        <f t="shared" si="87"/>
        <v>1357.1</v>
      </c>
      <c r="L156" s="45">
        <f t="shared" si="88"/>
        <v>657.0999999999999</v>
      </c>
      <c r="M156" s="47">
        <f t="shared" si="89"/>
        <v>-31402.100000000002</v>
      </c>
      <c r="N156" s="57">
        <v>7167</v>
      </c>
      <c r="O156" s="81">
        <f t="shared" si="90"/>
        <v>4406.299999999999</v>
      </c>
    </row>
    <row r="157" spans="1:15" ht="15.75" hidden="1">
      <c r="A157" s="86" t="s">
        <v>67</v>
      </c>
      <c r="B157" s="47">
        <v>5150</v>
      </c>
      <c r="C157" s="47">
        <v>25160</v>
      </c>
      <c r="D157" s="53">
        <v>5966.2</v>
      </c>
      <c r="E157" s="56">
        <v>2227</v>
      </c>
      <c r="F157" s="48">
        <f t="shared" si="86"/>
        <v>33353.2</v>
      </c>
      <c r="G157" s="51">
        <v>0</v>
      </c>
      <c r="H157" s="55">
        <v>1200</v>
      </c>
      <c r="I157" s="51">
        <v>0</v>
      </c>
      <c r="J157" s="115">
        <v>-8228.4</v>
      </c>
      <c r="K157" s="118">
        <f t="shared" si="87"/>
        <v>-8228.4</v>
      </c>
      <c r="L157" s="45">
        <f t="shared" si="88"/>
        <v>-7028.4</v>
      </c>
      <c r="M157" s="47">
        <f t="shared" si="89"/>
        <v>26324.799999999996</v>
      </c>
      <c r="N157" s="57">
        <v>-19961.1</v>
      </c>
      <c r="O157" s="81">
        <f t="shared" si="90"/>
        <v>11513.699999999997</v>
      </c>
    </row>
    <row r="158" spans="1:15" ht="15.75" hidden="1">
      <c r="A158" s="86" t="s">
        <v>68</v>
      </c>
      <c r="B158" s="47">
        <v>760.4</v>
      </c>
      <c r="C158" s="47">
        <v>4815.2</v>
      </c>
      <c r="D158" s="53">
        <v>308.3</v>
      </c>
      <c r="E158" s="56">
        <v>-2007.4</v>
      </c>
      <c r="F158" s="48">
        <f t="shared" si="86"/>
        <v>3116.1</v>
      </c>
      <c r="G158" s="51">
        <v>0</v>
      </c>
      <c r="H158" s="55">
        <v>2000</v>
      </c>
      <c r="I158" s="51">
        <v>0</v>
      </c>
      <c r="J158" s="115">
        <v>7267.3</v>
      </c>
      <c r="K158" s="118">
        <f t="shared" si="87"/>
        <v>7267.3</v>
      </c>
      <c r="L158" s="45">
        <f t="shared" si="88"/>
        <v>9267.3</v>
      </c>
      <c r="M158" s="47">
        <f t="shared" si="89"/>
        <v>12383.4</v>
      </c>
      <c r="N158" s="57">
        <v>7931.8</v>
      </c>
      <c r="O158" s="81">
        <f t="shared" si="90"/>
        <v>21075.600000000002</v>
      </c>
    </row>
    <row r="159" spans="1:15" ht="15.75" hidden="1">
      <c r="A159" s="86" t="s">
        <v>69</v>
      </c>
      <c r="B159" s="47">
        <v>20524.9</v>
      </c>
      <c r="C159" s="47">
        <v>14118.3</v>
      </c>
      <c r="D159" s="53">
        <v>-1860.2</v>
      </c>
      <c r="E159" s="56">
        <f>'[1]TOFE'!$Y$128</f>
        <v>-231.7</v>
      </c>
      <c r="F159" s="48">
        <f t="shared" si="86"/>
        <v>12026.399999999998</v>
      </c>
      <c r="G159" s="51">
        <v>0</v>
      </c>
      <c r="H159" s="51">
        <v>0</v>
      </c>
      <c r="I159" s="51">
        <v>0</v>
      </c>
      <c r="J159" s="115">
        <v>-2747.5</v>
      </c>
      <c r="K159" s="118">
        <f t="shared" si="87"/>
        <v>-2747.5</v>
      </c>
      <c r="L159" s="45">
        <f t="shared" si="88"/>
        <v>-2747.5</v>
      </c>
      <c r="M159" s="47">
        <f t="shared" si="89"/>
        <v>9278.899999999998</v>
      </c>
      <c r="N159" s="57">
        <v>-22938.9</v>
      </c>
      <c r="O159" s="81">
        <f t="shared" si="90"/>
        <v>6864.899999999998</v>
      </c>
    </row>
    <row r="160" spans="1:15" ht="15.75" hidden="1">
      <c r="A160" s="86" t="s">
        <v>26</v>
      </c>
      <c r="B160" s="47">
        <v>5972.1</v>
      </c>
      <c r="C160" s="47">
        <v>-16144.7</v>
      </c>
      <c r="D160" s="53">
        <v>6686.2</v>
      </c>
      <c r="E160" s="56">
        <f>'[1]TOFE'!$Z$128</f>
        <v>-2.3</v>
      </c>
      <c r="F160" s="48">
        <f t="shared" si="86"/>
        <v>-9460.8</v>
      </c>
      <c r="G160" s="51">
        <v>0</v>
      </c>
      <c r="H160" s="55">
        <v>-900</v>
      </c>
      <c r="I160" s="51">
        <v>0</v>
      </c>
      <c r="J160" s="115">
        <v>419.8</v>
      </c>
      <c r="K160" s="118">
        <f t="shared" si="87"/>
        <v>419.8</v>
      </c>
      <c r="L160" s="45">
        <f t="shared" si="88"/>
        <v>-480.2</v>
      </c>
      <c r="M160" s="47">
        <f t="shared" si="89"/>
        <v>-9941</v>
      </c>
      <c r="N160" s="57">
        <v>-5876.8</v>
      </c>
      <c r="O160" s="81">
        <f t="shared" si="90"/>
        <v>-9845.699999999999</v>
      </c>
    </row>
    <row r="161" spans="1:15" ht="15.75" hidden="1">
      <c r="A161" s="86" t="s">
        <v>71</v>
      </c>
      <c r="B161" s="47">
        <f>'[1]TOFE'!$AA$95</f>
        <v>349.32793633909637</v>
      </c>
      <c r="C161" s="47">
        <f>'[1]TOFE'!$AA$109</f>
        <v>9840.500000000002</v>
      </c>
      <c r="D161" s="53">
        <f>'[1]TOFE'!$AA$120</f>
        <v>1745.7999999999997</v>
      </c>
      <c r="E161" s="56">
        <v>305.3</v>
      </c>
      <c r="F161" s="48">
        <f t="shared" si="86"/>
        <v>11891.6</v>
      </c>
      <c r="G161" s="51">
        <v>0</v>
      </c>
      <c r="H161" s="55">
        <f>'[1]TOFE'!$AA$160</f>
        <v>-2400</v>
      </c>
      <c r="I161" s="51">
        <v>0</v>
      </c>
      <c r="J161" s="115">
        <f>'[1]TOFE'!$AA$172</f>
        <v>11773.6</v>
      </c>
      <c r="K161" s="118">
        <f t="shared" si="87"/>
        <v>11773.6</v>
      </c>
      <c r="L161" s="45">
        <f t="shared" si="88"/>
        <v>9373.6</v>
      </c>
      <c r="M161" s="47">
        <f t="shared" si="89"/>
        <v>21265.2</v>
      </c>
      <c r="N161" s="57">
        <v>-5569.5</v>
      </c>
      <c r="O161" s="81">
        <f t="shared" si="90"/>
        <v>16045.027936339096</v>
      </c>
    </row>
    <row r="162" spans="1:15" ht="15.75" hidden="1">
      <c r="A162" s="86" t="s">
        <v>72</v>
      </c>
      <c r="B162" s="47">
        <v>-1858.6</v>
      </c>
      <c r="C162" s="47">
        <v>21697.6</v>
      </c>
      <c r="D162" s="53">
        <v>-13598.5</v>
      </c>
      <c r="E162" s="56">
        <v>-30.5</v>
      </c>
      <c r="F162" s="48">
        <f t="shared" si="86"/>
        <v>8068.5999999999985</v>
      </c>
      <c r="G162" s="51">
        <v>0</v>
      </c>
      <c r="H162" s="55">
        <v>-1700</v>
      </c>
      <c r="I162" s="51">
        <v>0</v>
      </c>
      <c r="J162" s="115">
        <v>-2951.8</v>
      </c>
      <c r="K162" s="118">
        <f t="shared" si="87"/>
        <v>-2951.8</v>
      </c>
      <c r="L162" s="45">
        <f t="shared" si="88"/>
        <v>-4651.8</v>
      </c>
      <c r="M162" s="47">
        <f t="shared" si="89"/>
        <v>3416.7999999999984</v>
      </c>
      <c r="N162" s="57">
        <v>15424.5</v>
      </c>
      <c r="O162" s="81">
        <f t="shared" si="90"/>
        <v>16982.7</v>
      </c>
    </row>
    <row r="163" spans="1:15" ht="15.75" hidden="1">
      <c r="A163" s="78" t="s">
        <v>73</v>
      </c>
      <c r="B163" s="47">
        <v>2470.9</v>
      </c>
      <c r="C163" s="47">
        <v>43699.2</v>
      </c>
      <c r="D163" s="53">
        <v>-793.8</v>
      </c>
      <c r="E163" s="56">
        <v>4878.4</v>
      </c>
      <c r="F163" s="48">
        <f>+C163+D163+E163</f>
        <v>47783.799999999996</v>
      </c>
      <c r="G163" s="56" t="s">
        <v>6</v>
      </c>
      <c r="H163" s="55">
        <v>-700</v>
      </c>
      <c r="I163" s="51">
        <v>0</v>
      </c>
      <c r="J163" s="115">
        <v>-5517.3</v>
      </c>
      <c r="K163" s="118">
        <f t="shared" si="87"/>
        <v>-5517.3</v>
      </c>
      <c r="L163" s="45">
        <f t="shared" si="88"/>
        <v>-6217.3</v>
      </c>
      <c r="M163" s="47">
        <f t="shared" si="89"/>
        <v>41566.49999999999</v>
      </c>
      <c r="N163" s="57">
        <v>-13127.9</v>
      </c>
      <c r="O163" s="81">
        <f t="shared" si="90"/>
        <v>30909.499999999993</v>
      </c>
    </row>
    <row r="164" spans="1:15" ht="15.75" hidden="1">
      <c r="A164" s="78"/>
      <c r="B164" s="56"/>
      <c r="C164" s="56"/>
      <c r="D164" s="56"/>
      <c r="E164" s="63"/>
      <c r="F164" s="61"/>
      <c r="G164" s="51"/>
      <c r="H164" s="56"/>
      <c r="I164" s="56"/>
      <c r="J164" s="51"/>
      <c r="K164" s="49"/>
      <c r="L164" s="61"/>
      <c r="M164" s="61"/>
      <c r="N164" s="56"/>
      <c r="O164" s="106"/>
    </row>
    <row r="165" spans="1:15" ht="15.75" hidden="1">
      <c r="A165" s="78" t="s">
        <v>44</v>
      </c>
      <c r="B165" s="47">
        <v>5085.0999999999985</v>
      </c>
      <c r="C165" s="47">
        <v>-47161.9</v>
      </c>
      <c r="D165" s="53">
        <v>-382.99999999999943</v>
      </c>
      <c r="E165" s="56">
        <v>-1936</v>
      </c>
      <c r="F165" s="48">
        <f aca="true" t="shared" si="91" ref="F165:F176">+C165+D165+E165</f>
        <v>-49480.9</v>
      </c>
      <c r="G165" s="56" t="s">
        <v>6</v>
      </c>
      <c r="H165" s="56">
        <v>0</v>
      </c>
      <c r="I165" s="51">
        <v>0</v>
      </c>
      <c r="J165" s="115">
        <v>-4709</v>
      </c>
      <c r="K165" s="118">
        <v>-4709.03899999998</v>
      </c>
      <c r="L165" s="45">
        <f>K165+H165+G165</f>
        <v>-4709.03899999998</v>
      </c>
      <c r="M165" s="47">
        <f aca="true" t="shared" si="92" ref="M165:M176">+F165+L165</f>
        <v>-54189.938999999984</v>
      </c>
      <c r="N165" s="57">
        <v>24755.180999999997</v>
      </c>
      <c r="O165" s="81">
        <f aca="true" t="shared" si="93" ref="O165:O176">M165+N165+B165</f>
        <v>-24349.65799999999</v>
      </c>
    </row>
    <row r="166" spans="1:15" ht="15.75" hidden="1">
      <c r="A166" s="86" t="s">
        <v>66</v>
      </c>
      <c r="B166" s="47">
        <v>1753.726397541834</v>
      </c>
      <c r="C166" s="47">
        <v>8126.899999999998</v>
      </c>
      <c r="D166" s="53">
        <v>-2831.5000000000005</v>
      </c>
      <c r="E166" s="56">
        <v>-177</v>
      </c>
      <c r="F166" s="48">
        <f t="shared" si="91"/>
        <v>5118.399999999998</v>
      </c>
      <c r="G166" s="56" t="s">
        <v>6</v>
      </c>
      <c r="H166" s="56">
        <v>0</v>
      </c>
      <c r="I166" s="51">
        <v>0</v>
      </c>
      <c r="J166" s="115">
        <v>1896.3</v>
      </c>
      <c r="K166" s="118">
        <v>1896.2590000000055</v>
      </c>
      <c r="L166" s="45">
        <f aca="true" t="shared" si="94" ref="L166:L176">K166+H166+G166</f>
        <v>1896.2590000000055</v>
      </c>
      <c r="M166" s="47">
        <f t="shared" si="92"/>
        <v>7014.659000000003</v>
      </c>
      <c r="N166" s="57">
        <v>2667.5029999999942</v>
      </c>
      <c r="O166" s="81">
        <f t="shared" si="93"/>
        <v>11435.88839754183</v>
      </c>
    </row>
    <row r="167" spans="1:15" ht="15.75" hidden="1">
      <c r="A167" s="86" t="s">
        <v>75</v>
      </c>
      <c r="B167" s="47">
        <v>7247.35391338685</v>
      </c>
      <c r="C167" s="47">
        <v>-1116.800000000001</v>
      </c>
      <c r="D167" s="53">
        <v>14737.900000000001</v>
      </c>
      <c r="E167" s="56">
        <v>-403.3</v>
      </c>
      <c r="F167" s="48">
        <f t="shared" si="91"/>
        <v>13217.800000000001</v>
      </c>
      <c r="G167" s="56" t="s">
        <v>6</v>
      </c>
      <c r="H167" s="56">
        <v>-3400</v>
      </c>
      <c r="I167" s="51">
        <v>0</v>
      </c>
      <c r="J167" s="115">
        <v>-6498.3</v>
      </c>
      <c r="K167" s="118">
        <v>-6498.259000000009</v>
      </c>
      <c r="L167" s="45">
        <f t="shared" si="94"/>
        <v>-9898.25900000001</v>
      </c>
      <c r="M167" s="47">
        <f t="shared" si="92"/>
        <v>3319.540999999992</v>
      </c>
      <c r="N167" s="57">
        <v>-12150.687913386853</v>
      </c>
      <c r="O167" s="81">
        <f t="shared" si="93"/>
        <v>-1583.7930000000115</v>
      </c>
    </row>
    <row r="168" spans="1:15" ht="15.75" hidden="1">
      <c r="A168" s="86" t="s">
        <v>76</v>
      </c>
      <c r="B168" s="47">
        <v>5269.3</v>
      </c>
      <c r="C168" s="47">
        <v>14506.400000000009</v>
      </c>
      <c r="D168" s="53">
        <v>-7210.000000000001</v>
      </c>
      <c r="E168" s="56">
        <v>204</v>
      </c>
      <c r="F168" s="48">
        <f t="shared" si="91"/>
        <v>7500.400000000008</v>
      </c>
      <c r="G168" s="56" t="s">
        <v>6</v>
      </c>
      <c r="H168" s="56">
        <v>100</v>
      </c>
      <c r="I168" s="51">
        <v>0</v>
      </c>
      <c r="J168" s="115">
        <v>5606.5</v>
      </c>
      <c r="K168" s="118">
        <v>5606.490999999998</v>
      </c>
      <c r="L168" s="45">
        <f t="shared" si="94"/>
        <v>5706.490999999998</v>
      </c>
      <c r="M168" s="47">
        <f t="shared" si="92"/>
        <v>13206.891000000007</v>
      </c>
      <c r="N168" s="57">
        <v>-6514.783000000014</v>
      </c>
      <c r="O168" s="81">
        <f t="shared" si="93"/>
        <v>11961.407999999992</v>
      </c>
    </row>
    <row r="169" spans="1:15" ht="15.75" hidden="1">
      <c r="A169" s="86" t="s">
        <v>77</v>
      </c>
      <c r="B169" s="56">
        <v>0</v>
      </c>
      <c r="C169" s="47">
        <v>-17429.899999999994</v>
      </c>
      <c r="D169" s="53">
        <v>14835.6</v>
      </c>
      <c r="E169" s="56">
        <v>-736.9</v>
      </c>
      <c r="F169" s="48">
        <f t="shared" si="91"/>
        <v>-3331.199999999994</v>
      </c>
      <c r="G169" s="51">
        <v>0</v>
      </c>
      <c r="H169" s="56">
        <v>3300</v>
      </c>
      <c r="I169" s="51">
        <v>0</v>
      </c>
      <c r="J169" s="115">
        <v>2137.9</v>
      </c>
      <c r="K169" s="118">
        <v>2137.9159999999974</v>
      </c>
      <c r="L169" s="45">
        <f t="shared" si="94"/>
        <v>5437.915999999997</v>
      </c>
      <c r="M169" s="47">
        <f t="shared" si="92"/>
        <v>2106.7160000000035</v>
      </c>
      <c r="N169" s="57">
        <v>6080.438</v>
      </c>
      <c r="O169" s="81">
        <f t="shared" si="93"/>
        <v>8187.154000000004</v>
      </c>
    </row>
    <row r="170" spans="1:15" ht="15.75" hidden="1">
      <c r="A170" s="86" t="s">
        <v>67</v>
      </c>
      <c r="B170" s="47">
        <v>768.9</v>
      </c>
      <c r="C170" s="47">
        <v>22190.3</v>
      </c>
      <c r="D170" s="53">
        <v>-9491.599999999999</v>
      </c>
      <c r="E170" s="56">
        <v>1887.1</v>
      </c>
      <c r="F170" s="48">
        <f t="shared" si="91"/>
        <v>14585.800000000001</v>
      </c>
      <c r="G170" s="51">
        <v>0</v>
      </c>
      <c r="H170" s="56">
        <v>3800</v>
      </c>
      <c r="I170" s="51">
        <v>0</v>
      </c>
      <c r="J170" s="115">
        <v>17725.341999999975</v>
      </c>
      <c r="K170" s="118">
        <v>17725.341999999975</v>
      </c>
      <c r="L170" s="45">
        <f t="shared" si="94"/>
        <v>21525.341999999975</v>
      </c>
      <c r="M170" s="47">
        <f t="shared" si="92"/>
        <v>36111.14199999998</v>
      </c>
      <c r="N170" s="57">
        <v>-9540.224999999997</v>
      </c>
      <c r="O170" s="81">
        <f t="shared" si="93"/>
        <v>27339.81699999998</v>
      </c>
    </row>
    <row r="171" spans="1:15" ht="15.75" hidden="1">
      <c r="A171" s="86" t="s">
        <v>68</v>
      </c>
      <c r="B171" s="56">
        <v>0</v>
      </c>
      <c r="C171" s="47">
        <v>21148.999999999996</v>
      </c>
      <c r="D171" s="53">
        <v>-900.6000000000008</v>
      </c>
      <c r="E171" s="56">
        <v>1247.8</v>
      </c>
      <c r="F171" s="48">
        <f t="shared" si="91"/>
        <v>21496.199999999993</v>
      </c>
      <c r="G171" s="51">
        <v>0</v>
      </c>
      <c r="H171" s="56">
        <v>-1700</v>
      </c>
      <c r="I171" s="51">
        <v>0</v>
      </c>
      <c r="J171" s="115">
        <v>11174.4</v>
      </c>
      <c r="K171" s="118">
        <v>11174.410999999993</v>
      </c>
      <c r="L171" s="45">
        <f t="shared" si="94"/>
        <v>9474.410999999993</v>
      </c>
      <c r="M171" s="47">
        <f t="shared" si="92"/>
        <v>30970.610999999986</v>
      </c>
      <c r="N171" s="57">
        <v>-28984.449999999983</v>
      </c>
      <c r="O171" s="81">
        <f t="shared" si="93"/>
        <v>1986.1610000000037</v>
      </c>
    </row>
    <row r="172" spans="1:15" ht="15.75" hidden="1">
      <c r="A172" s="86" t="s">
        <v>69</v>
      </c>
      <c r="B172" s="47">
        <v>15092.699999999999</v>
      </c>
      <c r="C172" s="47">
        <v>-8352</v>
      </c>
      <c r="D172" s="53">
        <v>10524</v>
      </c>
      <c r="E172" s="56">
        <v>-637.1</v>
      </c>
      <c r="F172" s="48">
        <f t="shared" si="91"/>
        <v>1534.9</v>
      </c>
      <c r="G172" s="51">
        <v>0</v>
      </c>
      <c r="H172" s="56">
        <v>4100</v>
      </c>
      <c r="I172" s="51">
        <v>0</v>
      </c>
      <c r="J172" s="115">
        <v>-11124.593999999983</v>
      </c>
      <c r="K172" s="118">
        <v>-11124.593999999983</v>
      </c>
      <c r="L172" s="45">
        <f t="shared" si="94"/>
        <v>-7024.593999999983</v>
      </c>
      <c r="M172" s="47">
        <f t="shared" si="92"/>
        <v>-5489.693999999983</v>
      </c>
      <c r="N172" s="57">
        <v>46103.66699999997</v>
      </c>
      <c r="O172" s="81">
        <f t="shared" si="93"/>
        <v>55706.67299999999</v>
      </c>
    </row>
    <row r="173" spans="1:15" ht="15.75" hidden="1">
      <c r="A173" s="86" t="s">
        <v>26</v>
      </c>
      <c r="B173" s="47">
        <v>72.9</v>
      </c>
      <c r="C173" s="47">
        <v>8769.6</v>
      </c>
      <c r="D173" s="53">
        <v>10691.4</v>
      </c>
      <c r="E173" s="56">
        <v>-647</v>
      </c>
      <c r="F173" s="48">
        <f t="shared" si="91"/>
        <v>18814</v>
      </c>
      <c r="G173" s="51">
        <v>0</v>
      </c>
      <c r="H173" s="56">
        <v>200</v>
      </c>
      <c r="I173" s="51">
        <v>0</v>
      </c>
      <c r="J173" s="115">
        <v>-4588.141000000003</v>
      </c>
      <c r="K173" s="118">
        <v>-4588.141000000003</v>
      </c>
      <c r="L173" s="45">
        <f t="shared" si="94"/>
        <v>-4388.141000000003</v>
      </c>
      <c r="M173" s="47">
        <f t="shared" si="92"/>
        <v>14425.858999999997</v>
      </c>
      <c r="N173" s="57">
        <v>-10082.368000000008</v>
      </c>
      <c r="O173" s="81">
        <f t="shared" si="93"/>
        <v>4416.390999999989</v>
      </c>
    </row>
    <row r="174" spans="1:15" ht="15.75" hidden="1">
      <c r="A174" s="86" t="s">
        <v>71</v>
      </c>
      <c r="B174" s="47">
        <v>2920.3149999999996</v>
      </c>
      <c r="C174" s="47">
        <v>-12468.800000000008</v>
      </c>
      <c r="D174" s="53">
        <v>9062.400000000001</v>
      </c>
      <c r="E174" s="56">
        <v>26.700000000000728</v>
      </c>
      <c r="F174" s="48">
        <f t="shared" si="91"/>
        <v>-3379.700000000006</v>
      </c>
      <c r="G174" s="51">
        <v>0</v>
      </c>
      <c r="H174" s="56">
        <v>800</v>
      </c>
      <c r="I174" s="51">
        <v>0</v>
      </c>
      <c r="J174" s="115">
        <v>11192.069000000076</v>
      </c>
      <c r="K174" s="118">
        <v>11192.069000000076</v>
      </c>
      <c r="L174" s="45">
        <f t="shared" si="94"/>
        <v>11992.069000000076</v>
      </c>
      <c r="M174" s="47">
        <f t="shared" si="92"/>
        <v>8612.36900000007</v>
      </c>
      <c r="N174" s="57">
        <v>-5761.176000000104</v>
      </c>
      <c r="O174" s="81">
        <f t="shared" si="93"/>
        <v>5771.507999999965</v>
      </c>
    </row>
    <row r="175" spans="1:15" ht="15.75" hidden="1">
      <c r="A175" s="86" t="s">
        <v>72</v>
      </c>
      <c r="B175" s="47">
        <v>10054.3244100501</v>
      </c>
      <c r="C175" s="47">
        <v>13421.800000000003</v>
      </c>
      <c r="D175" s="53">
        <v>-847.1000000000015</v>
      </c>
      <c r="E175" s="56">
        <v>770.5999999999985</v>
      </c>
      <c r="F175" s="48">
        <f t="shared" si="91"/>
        <v>13345.3</v>
      </c>
      <c r="G175" s="51">
        <v>0</v>
      </c>
      <c r="H175" s="56">
        <v>50</v>
      </c>
      <c r="I175" s="51">
        <v>0</v>
      </c>
      <c r="J175" s="115">
        <v>5950.211999999941</v>
      </c>
      <c r="K175" s="118">
        <v>5950.211999999941</v>
      </c>
      <c r="L175" s="45">
        <f t="shared" si="94"/>
        <v>6000.211999999941</v>
      </c>
      <c r="M175" s="47">
        <f t="shared" si="92"/>
        <v>19345.51199999994</v>
      </c>
      <c r="N175" s="57">
        <v>-9239.731481299932</v>
      </c>
      <c r="O175" s="81">
        <f t="shared" si="93"/>
        <v>20160.10492875011</v>
      </c>
    </row>
    <row r="176" spans="1:15" ht="15.75" hidden="1">
      <c r="A176" s="86" t="s">
        <v>73</v>
      </c>
      <c r="B176" s="47">
        <v>41494.180279021224</v>
      </c>
      <c r="C176" s="47">
        <v>-9395.899999999998</v>
      </c>
      <c r="D176" s="53">
        <v>-342.1024669999955</v>
      </c>
      <c r="E176" s="56">
        <v>3802</v>
      </c>
      <c r="F176" s="48">
        <f t="shared" si="91"/>
        <v>-5936.002466999993</v>
      </c>
      <c r="G176" s="51">
        <v>0</v>
      </c>
      <c r="H176" s="56">
        <v>-1083.2999999999993</v>
      </c>
      <c r="I176" s="51">
        <v>0</v>
      </c>
      <c r="J176" s="115">
        <v>-28762.688000000006</v>
      </c>
      <c r="K176" s="56">
        <v>-28762.688000000006</v>
      </c>
      <c r="L176" s="45">
        <f t="shared" si="94"/>
        <v>-29845.988000000005</v>
      </c>
      <c r="M176" s="47">
        <f t="shared" si="92"/>
        <v>-35781.990466999996</v>
      </c>
      <c r="N176" s="57">
        <v>-84449.40081202117</v>
      </c>
      <c r="O176" s="81">
        <f t="shared" si="93"/>
        <v>-78737.21099999994</v>
      </c>
    </row>
    <row r="177" spans="1:15" ht="15.75" hidden="1">
      <c r="A177" s="78"/>
      <c r="B177" s="56"/>
      <c r="C177" s="56"/>
      <c r="D177" s="56"/>
      <c r="E177" s="63"/>
      <c r="F177" s="61"/>
      <c r="G177" s="51"/>
      <c r="H177" s="56"/>
      <c r="I177" s="56"/>
      <c r="J177" s="51"/>
      <c r="K177" s="49"/>
      <c r="L177" s="61"/>
      <c r="M177" s="61"/>
      <c r="N177" s="56"/>
      <c r="O177" s="106"/>
    </row>
    <row r="178" spans="1:17" ht="15.75" hidden="1">
      <c r="A178" s="78" t="s">
        <v>46</v>
      </c>
      <c r="B178" s="47">
        <v>1675.9103335006266</v>
      </c>
      <c r="C178" s="47">
        <v>-22381.500000000004</v>
      </c>
      <c r="D178" s="53">
        <v>7369.902466999996</v>
      </c>
      <c r="E178" s="56">
        <v>-3412.2999999999993</v>
      </c>
      <c r="F178" s="48">
        <f aca="true" t="shared" si="95" ref="F178:F189">+C178+D178+E178</f>
        <v>-18423.897533000007</v>
      </c>
      <c r="G178" s="51">
        <v>0</v>
      </c>
      <c r="H178" s="56">
        <v>-960.1000000000022</v>
      </c>
      <c r="I178" s="51">
        <v>0</v>
      </c>
      <c r="J178" s="115">
        <v>-16933.3210000001</v>
      </c>
      <c r="K178" s="118">
        <f>+I178+J178</f>
        <v>-16933.3210000001</v>
      </c>
      <c r="L178" s="45">
        <f>K178+H178+G178</f>
        <v>-17893.421000000104</v>
      </c>
      <c r="M178" s="47">
        <f>+F178+L178</f>
        <v>-36317.318533000114</v>
      </c>
      <c r="N178" s="57">
        <v>34724.61953300008</v>
      </c>
      <c r="O178" s="81">
        <f aca="true" t="shared" si="96" ref="O178:O189">M178+N178+B178</f>
        <v>83.21133350058972</v>
      </c>
      <c r="P178" s="96"/>
      <c r="Q178" s="4"/>
    </row>
    <row r="179" spans="1:17" ht="15.75" hidden="1">
      <c r="A179" s="86" t="s">
        <v>66</v>
      </c>
      <c r="B179" s="47">
        <v>1851.6173822558176</v>
      </c>
      <c r="C179" s="47">
        <v>-45612.49999999997</v>
      </c>
      <c r="D179" s="53">
        <v>11427.100000000002</v>
      </c>
      <c r="E179" s="56">
        <v>-479.2000000000007</v>
      </c>
      <c r="F179" s="48">
        <f t="shared" si="95"/>
        <v>-34664.59999999996</v>
      </c>
      <c r="G179" s="51">
        <v>0</v>
      </c>
      <c r="H179" s="56">
        <v>-3831.7999999999993</v>
      </c>
      <c r="I179" s="51">
        <v>0</v>
      </c>
      <c r="J179" s="115">
        <v>3493.1490000000013</v>
      </c>
      <c r="K179" s="118">
        <f>+I179+J179</f>
        <v>3493.1490000000013</v>
      </c>
      <c r="L179" s="45">
        <f>K179+H179+G179</f>
        <v>-338.650999999998</v>
      </c>
      <c r="M179" s="47">
        <f aca="true" t="shared" si="97" ref="M179:M189">+F179+L179</f>
        <v>-35003.25099999996</v>
      </c>
      <c r="N179" s="57">
        <v>18832.810617744144</v>
      </c>
      <c r="O179" s="81">
        <f t="shared" si="96"/>
        <v>-14318.822999999999</v>
      </c>
      <c r="P179" s="96"/>
      <c r="Q179" s="4"/>
    </row>
    <row r="180" spans="1:17" ht="15.75" hidden="1">
      <c r="A180" s="86" t="s">
        <v>75</v>
      </c>
      <c r="B180" s="47">
        <v>3700.532757168775</v>
      </c>
      <c r="C180" s="47">
        <v>25627.29999999999</v>
      </c>
      <c r="D180" s="53">
        <v>-11332.599999999999</v>
      </c>
      <c r="E180" s="56">
        <v>1712.7000000000007</v>
      </c>
      <c r="F180" s="48">
        <f t="shared" si="95"/>
        <v>16007.39999999999</v>
      </c>
      <c r="G180" s="51">
        <v>0</v>
      </c>
      <c r="H180" s="56">
        <v>3720</v>
      </c>
      <c r="I180" s="51">
        <v>0</v>
      </c>
      <c r="J180" s="115">
        <v>8841.417000000016</v>
      </c>
      <c r="K180" s="118">
        <f aca="true" t="shared" si="98" ref="K180:K188">+I180+J180</f>
        <v>8841.417000000016</v>
      </c>
      <c r="L180" s="45">
        <f aca="true" t="shared" si="99" ref="L180:L188">K180+H180+G180</f>
        <v>12561.417000000016</v>
      </c>
      <c r="M180" s="47">
        <f t="shared" si="97"/>
        <v>28568.817000000006</v>
      </c>
      <c r="N180" s="57">
        <v>-33612.043999999994</v>
      </c>
      <c r="O180" s="81">
        <f t="shared" si="96"/>
        <v>-1342.6942428312132</v>
      </c>
      <c r="P180" s="96"/>
      <c r="Q180" s="4"/>
    </row>
    <row r="181" spans="1:17" ht="15.75" hidden="1">
      <c r="A181" s="86" t="s">
        <v>76</v>
      </c>
      <c r="B181" s="47">
        <v>10432.418952737</v>
      </c>
      <c r="C181" s="47">
        <v>-4853.10000000002</v>
      </c>
      <c r="D181" s="53">
        <v>5096.9000000000015</v>
      </c>
      <c r="E181" s="56">
        <v>2914.1000000000004</v>
      </c>
      <c r="F181" s="48">
        <f t="shared" si="95"/>
        <v>3157.8999999999814</v>
      </c>
      <c r="G181" s="51">
        <v>0</v>
      </c>
      <c r="H181" s="56">
        <v>800</v>
      </c>
      <c r="I181" s="51">
        <v>0</v>
      </c>
      <c r="J181" s="115">
        <v>3475.9459999999817</v>
      </c>
      <c r="K181" s="118">
        <f t="shared" si="98"/>
        <v>3475.9459999999817</v>
      </c>
      <c r="L181" s="45">
        <f t="shared" si="99"/>
        <v>4275.945999999982</v>
      </c>
      <c r="M181" s="47">
        <f t="shared" si="97"/>
        <v>7433.845999999963</v>
      </c>
      <c r="N181" s="57">
        <v>2467.2510000000348</v>
      </c>
      <c r="O181" s="81">
        <f t="shared" si="96"/>
        <v>20333.515952736998</v>
      </c>
      <c r="P181" s="96"/>
      <c r="Q181" s="4"/>
    </row>
    <row r="182" spans="1:17" ht="15.75" hidden="1">
      <c r="A182" s="86" t="s">
        <v>77</v>
      </c>
      <c r="B182" s="47">
        <v>6628.999345609151</v>
      </c>
      <c r="C182" s="47">
        <v>13837.499999999982</v>
      </c>
      <c r="D182" s="53">
        <v>2409.999999999992</v>
      </c>
      <c r="E182" s="56">
        <v>1790.800000000001</v>
      </c>
      <c r="F182" s="48">
        <f t="shared" si="95"/>
        <v>18038.299999999974</v>
      </c>
      <c r="G182" s="51">
        <v>0</v>
      </c>
      <c r="H182" s="56">
        <v>-18.200000000000728</v>
      </c>
      <c r="I182" s="51">
        <v>0</v>
      </c>
      <c r="J182" s="115">
        <v>7384.0370000000075</v>
      </c>
      <c r="K182" s="118">
        <f t="shared" si="98"/>
        <v>7384.0370000000075</v>
      </c>
      <c r="L182" s="45">
        <f t="shared" si="99"/>
        <v>7365.837000000007</v>
      </c>
      <c r="M182" s="47">
        <f t="shared" si="97"/>
        <v>25404.13699999998</v>
      </c>
      <c r="N182" s="57">
        <v>-19603.240999999976</v>
      </c>
      <c r="O182" s="81">
        <f t="shared" si="96"/>
        <v>12429.895345609155</v>
      </c>
      <c r="P182" s="96"/>
      <c r="Q182" s="4"/>
    </row>
    <row r="183" spans="1:17" ht="15.75" hidden="1">
      <c r="A183" s="86" t="s">
        <v>67</v>
      </c>
      <c r="B183" s="47">
        <v>659.7093980146701</v>
      </c>
      <c r="C183" s="47">
        <v>7807.500000000029</v>
      </c>
      <c r="D183" s="53">
        <v>-4514.800000000004</v>
      </c>
      <c r="E183" s="56">
        <v>-1335.9000000000015</v>
      </c>
      <c r="F183" s="48">
        <f t="shared" si="95"/>
        <v>1956.8000000000238</v>
      </c>
      <c r="G183" s="51">
        <v>0</v>
      </c>
      <c r="H183" s="56">
        <v>1243.5</v>
      </c>
      <c r="I183" s="51">
        <v>0</v>
      </c>
      <c r="J183" s="115">
        <v>-23724.550000000003</v>
      </c>
      <c r="K183" s="118">
        <f t="shared" si="98"/>
        <v>-23724.550000000003</v>
      </c>
      <c r="L183" s="45">
        <f t="shared" si="99"/>
        <v>-22481.050000000003</v>
      </c>
      <c r="M183" s="47">
        <f t="shared" si="97"/>
        <v>-20524.249999999978</v>
      </c>
      <c r="N183" s="57">
        <v>31031.658537078136</v>
      </c>
      <c r="O183" s="81">
        <f t="shared" si="96"/>
        <v>11167.117935092829</v>
      </c>
      <c r="P183" s="96"/>
      <c r="Q183" s="4"/>
    </row>
    <row r="184" spans="1:17" ht="15.75" hidden="1">
      <c r="A184" s="86" t="s">
        <v>68</v>
      </c>
      <c r="B184" s="47">
        <v>6783.3</v>
      </c>
      <c r="C184" s="47">
        <v>16879.600000000006</v>
      </c>
      <c r="D184" s="53">
        <v>153.60000000000082</v>
      </c>
      <c r="E184" s="56">
        <v>-1696.3999999999996</v>
      </c>
      <c r="F184" s="48">
        <f t="shared" si="95"/>
        <v>15336.800000000008</v>
      </c>
      <c r="G184" s="51">
        <v>0</v>
      </c>
      <c r="H184" s="56">
        <v>9700</v>
      </c>
      <c r="I184" s="51">
        <v>0</v>
      </c>
      <c r="J184" s="115">
        <v>53292.949000000015</v>
      </c>
      <c r="K184" s="118">
        <f t="shared" si="98"/>
        <v>53292.949000000015</v>
      </c>
      <c r="L184" s="45">
        <f t="shared" si="99"/>
        <v>62992.949000000015</v>
      </c>
      <c r="M184" s="47">
        <f t="shared" si="97"/>
        <v>78329.74900000003</v>
      </c>
      <c r="N184" s="57">
        <v>-49228.84800000005</v>
      </c>
      <c r="O184" s="81">
        <f t="shared" si="96"/>
        <v>35884.20099999998</v>
      </c>
      <c r="P184" s="96"/>
      <c r="Q184" s="4"/>
    </row>
    <row r="185" spans="1:17" ht="15.75" hidden="1">
      <c r="A185" s="86" t="s">
        <v>69</v>
      </c>
      <c r="B185" s="47">
        <v>1161.32824274568</v>
      </c>
      <c r="C185" s="47">
        <v>8573.099999999993</v>
      </c>
      <c r="D185" s="53">
        <v>-13719.5</v>
      </c>
      <c r="E185" s="56">
        <v>-2361.8999999999996</v>
      </c>
      <c r="F185" s="48">
        <f t="shared" si="95"/>
        <v>-7508.300000000007</v>
      </c>
      <c r="G185" s="51">
        <v>0</v>
      </c>
      <c r="H185" s="56">
        <v>456.5</v>
      </c>
      <c r="I185" s="51">
        <v>0</v>
      </c>
      <c r="J185" s="115">
        <v>-25946.675000000017</v>
      </c>
      <c r="K185" s="118">
        <f t="shared" si="98"/>
        <v>-25946.675000000017</v>
      </c>
      <c r="L185" s="45">
        <f t="shared" si="99"/>
        <v>-25490.175000000017</v>
      </c>
      <c r="M185" s="47">
        <f t="shared" si="97"/>
        <v>-32998.47500000002</v>
      </c>
      <c r="N185" s="57">
        <v>27104.337757254336</v>
      </c>
      <c r="O185" s="81">
        <f t="shared" si="96"/>
        <v>-4732.809000000005</v>
      </c>
      <c r="P185" s="96"/>
      <c r="Q185" s="4"/>
    </row>
    <row r="186" spans="1:17" ht="15.75" hidden="1">
      <c r="A186" s="86" t="s">
        <v>26</v>
      </c>
      <c r="B186" s="47">
        <v>1341.8127357718054</v>
      </c>
      <c r="C186" s="47">
        <v>4559.400000000012</v>
      </c>
      <c r="D186" s="53">
        <v>2213.0000000000014</v>
      </c>
      <c r="E186" s="56">
        <v>-844.3000000000011</v>
      </c>
      <c r="F186" s="48">
        <f t="shared" si="95"/>
        <v>5928.100000000013</v>
      </c>
      <c r="G186" s="51">
        <v>0</v>
      </c>
      <c r="H186" s="56">
        <v>4100</v>
      </c>
      <c r="I186" s="51">
        <v>0</v>
      </c>
      <c r="J186" s="115">
        <v>8377.576000000001</v>
      </c>
      <c r="K186" s="118">
        <f t="shared" si="98"/>
        <v>8377.576000000001</v>
      </c>
      <c r="L186" s="45">
        <f t="shared" si="99"/>
        <v>12477.576000000001</v>
      </c>
      <c r="M186" s="47">
        <f t="shared" si="97"/>
        <v>18405.676000000014</v>
      </c>
      <c r="N186" s="57">
        <v>-5903.463999999987</v>
      </c>
      <c r="O186" s="81">
        <f t="shared" si="96"/>
        <v>13844.024735771833</v>
      </c>
      <c r="P186" s="96"/>
      <c r="Q186" s="4"/>
    </row>
    <row r="187" spans="1:17" ht="15.75" hidden="1">
      <c r="A187" s="86" t="s">
        <v>71</v>
      </c>
      <c r="B187" s="47">
        <v>4783.65864390247</v>
      </c>
      <c r="C187" s="47">
        <v>19655.500000000004</v>
      </c>
      <c r="D187" s="53">
        <v>-6370.700000000002</v>
      </c>
      <c r="E187" s="56">
        <v>1079.1000000000004</v>
      </c>
      <c r="F187" s="48">
        <f t="shared" si="95"/>
        <v>14363.900000000003</v>
      </c>
      <c r="G187" s="51">
        <v>0</v>
      </c>
      <c r="H187" s="56">
        <v>-2100</v>
      </c>
      <c r="I187" s="51">
        <v>0</v>
      </c>
      <c r="J187" s="115">
        <v>21086.814000000006</v>
      </c>
      <c r="K187" s="118">
        <f t="shared" si="98"/>
        <v>21086.814000000006</v>
      </c>
      <c r="L187" s="45">
        <f t="shared" si="99"/>
        <v>18986.814000000006</v>
      </c>
      <c r="M187" s="47">
        <f t="shared" si="97"/>
        <v>33350.71400000001</v>
      </c>
      <c r="N187" s="57">
        <v>-22468.796000000035</v>
      </c>
      <c r="O187" s="81">
        <f t="shared" si="96"/>
        <v>15665.576643902443</v>
      </c>
      <c r="P187" s="96"/>
      <c r="Q187" s="4"/>
    </row>
    <row r="188" spans="1:17" ht="15.75" hidden="1">
      <c r="A188" s="86" t="s">
        <v>72</v>
      </c>
      <c r="B188" s="47">
        <v>-396.7</v>
      </c>
      <c r="C188" s="47">
        <v>-9409.000000000007</v>
      </c>
      <c r="D188" s="53">
        <v>-12736.799999999992</v>
      </c>
      <c r="E188" s="56">
        <v>398</v>
      </c>
      <c r="F188" s="48">
        <f t="shared" si="95"/>
        <v>-21747.8</v>
      </c>
      <c r="G188" s="49">
        <v>0</v>
      </c>
      <c r="H188" s="30">
        <v>5200</v>
      </c>
      <c r="I188" s="51">
        <v>0</v>
      </c>
      <c r="J188" s="3">
        <v>1039.5689999999595</v>
      </c>
      <c r="K188" s="118">
        <f t="shared" si="98"/>
        <v>1039.5689999999595</v>
      </c>
      <c r="L188" s="45">
        <f t="shared" si="99"/>
        <v>6239.5689999999595</v>
      </c>
      <c r="M188" s="47">
        <f t="shared" si="97"/>
        <v>-15508.23100000004</v>
      </c>
      <c r="N188" s="62">
        <v>9565.191000000064</v>
      </c>
      <c r="O188" s="81">
        <f t="shared" si="96"/>
        <v>-6339.739999999975</v>
      </c>
      <c r="P188" s="4"/>
      <c r="Q188" s="4"/>
    </row>
    <row r="189" spans="1:17" ht="15.75" hidden="1">
      <c r="A189" s="86" t="s">
        <v>73</v>
      </c>
      <c r="B189" s="47">
        <v>15413.595999999998</v>
      </c>
      <c r="C189" s="47">
        <v>68062.09999999998</v>
      </c>
      <c r="D189" s="53">
        <v>-6156.300000000008</v>
      </c>
      <c r="E189" s="56">
        <v>2379.5</v>
      </c>
      <c r="F189" s="48">
        <f t="shared" si="95"/>
        <v>64285.29999999997</v>
      </c>
      <c r="G189" s="49">
        <v>0</v>
      </c>
      <c r="H189" s="30">
        <v>60</v>
      </c>
      <c r="I189" s="51">
        <v>0</v>
      </c>
      <c r="J189" s="115">
        <v>-18947.50299999996</v>
      </c>
      <c r="K189" s="118">
        <f>+I189+J189</f>
        <v>-18947.50299999996</v>
      </c>
      <c r="L189" s="45">
        <f>K189+H189+G189</f>
        <v>-18887.50299999996</v>
      </c>
      <c r="M189" s="47">
        <f t="shared" si="97"/>
        <v>45397.797000000006</v>
      </c>
      <c r="N189" s="57">
        <v>-53411.896999999975</v>
      </c>
      <c r="O189" s="81">
        <f t="shared" si="96"/>
        <v>7399.496000000028</v>
      </c>
      <c r="P189" s="96"/>
      <c r="Q189" s="4"/>
    </row>
    <row r="190" spans="1:15" ht="15.75" hidden="1">
      <c r="A190" s="78"/>
      <c r="B190" s="56"/>
      <c r="C190" s="56"/>
      <c r="D190" s="56"/>
      <c r="E190" s="63"/>
      <c r="F190" s="61"/>
      <c r="G190" s="51"/>
      <c r="H190" s="56"/>
      <c r="I190" s="56"/>
      <c r="J190" s="51"/>
      <c r="K190" s="49"/>
      <c r="L190" s="61"/>
      <c r="M190" s="61"/>
      <c r="N190" s="56"/>
      <c r="O190" s="106"/>
    </row>
    <row r="191" spans="1:15" ht="15.75" hidden="1">
      <c r="A191" s="85" t="s">
        <v>55</v>
      </c>
      <c r="B191" s="56">
        <v>3029.48806509202</v>
      </c>
      <c r="C191" s="47">
        <v>-70851.19999999998</v>
      </c>
      <c r="D191" s="53">
        <v>989.6999999999989</v>
      </c>
      <c r="E191" s="53">
        <v>-1530.6000000000004</v>
      </c>
      <c r="F191" s="48">
        <f aca="true" t="shared" si="100" ref="F191:F202">+C191+D191+E191</f>
        <v>-71392.09999999999</v>
      </c>
      <c r="G191" s="51">
        <v>0</v>
      </c>
      <c r="H191" s="56">
        <v>-2066.699999999997</v>
      </c>
      <c r="I191" s="51">
        <v>0</v>
      </c>
      <c r="J191" s="115">
        <v>11644.849994999997</v>
      </c>
      <c r="K191" s="118">
        <f aca="true" t="shared" si="101" ref="K191:K196">+I191+J191</f>
        <v>11644.849994999997</v>
      </c>
      <c r="L191" s="45">
        <f>K191+H191+G191</f>
        <v>9578.149995</v>
      </c>
      <c r="M191" s="47">
        <f aca="true" t="shared" si="102" ref="M191:M200">+F191+L191</f>
        <v>-61813.95000499999</v>
      </c>
      <c r="N191" s="57">
        <v>8772.327352198132</v>
      </c>
      <c r="O191" s="81">
        <f>M191+N191+B191</f>
        <v>-50012.13458770984</v>
      </c>
    </row>
    <row r="192" spans="1:15" ht="15.75" hidden="1">
      <c r="A192" s="86" t="s">
        <v>66</v>
      </c>
      <c r="B192" s="56">
        <v>592.42908241671</v>
      </c>
      <c r="C192" s="47">
        <v>-6502.500000000011</v>
      </c>
      <c r="D192" s="53">
        <v>-6407.299999999989</v>
      </c>
      <c r="E192" s="53">
        <v>-47.399999999999636</v>
      </c>
      <c r="F192" s="48">
        <f t="shared" si="100"/>
        <v>-12957.199999999999</v>
      </c>
      <c r="G192" s="51">
        <v>0</v>
      </c>
      <c r="H192" s="56">
        <v>-1460</v>
      </c>
      <c r="I192" s="51">
        <v>0</v>
      </c>
      <c r="J192" s="115">
        <v>-7523.777262999996</v>
      </c>
      <c r="K192" s="118">
        <f t="shared" si="101"/>
        <v>-7523.777262999996</v>
      </c>
      <c r="L192" s="45">
        <f>K192+H192+G192</f>
        <v>-8983.777262999996</v>
      </c>
      <c r="M192" s="47">
        <f t="shared" si="102"/>
        <v>-21940.977262999993</v>
      </c>
      <c r="N192" s="57">
        <v>35865.854577659455</v>
      </c>
      <c r="O192" s="81">
        <f>M192+N192+B192</f>
        <v>14517.30639707617</v>
      </c>
    </row>
    <row r="193" spans="1:15" ht="15.75" hidden="1">
      <c r="A193" s="86" t="s">
        <v>75</v>
      </c>
      <c r="B193" s="56">
        <v>1022.1110552929299</v>
      </c>
      <c r="C193" s="47">
        <v>24692.399999999987</v>
      </c>
      <c r="D193" s="53">
        <v>-23457.199999999997</v>
      </c>
      <c r="E193" s="53">
        <v>-633.5</v>
      </c>
      <c r="F193" s="48">
        <f t="shared" si="100"/>
        <v>601.6999999999898</v>
      </c>
      <c r="G193" s="51">
        <v>0</v>
      </c>
      <c r="H193" s="56">
        <v>3000</v>
      </c>
      <c r="I193" s="51">
        <v>0</v>
      </c>
      <c r="J193" s="115">
        <v>37641.237479999996</v>
      </c>
      <c r="K193" s="118">
        <f t="shared" si="101"/>
        <v>37641.237479999996</v>
      </c>
      <c r="L193" s="45">
        <f>K193+H193+G193</f>
        <v>40641.237479999996</v>
      </c>
      <c r="M193" s="47">
        <f t="shared" si="102"/>
        <v>41242.937479999986</v>
      </c>
      <c r="N193" s="57">
        <v>-43513.37631662266</v>
      </c>
      <c r="O193" s="81">
        <f>M193+N193+B193</f>
        <v>-1248.3277813297477</v>
      </c>
    </row>
    <row r="194" spans="1:15" ht="15.75" hidden="1">
      <c r="A194" s="86" t="s">
        <v>76</v>
      </c>
      <c r="B194" s="56">
        <v>3034.6954622001526</v>
      </c>
      <c r="C194" s="47">
        <v>14323</v>
      </c>
      <c r="D194" s="53">
        <v>14227.59999999999</v>
      </c>
      <c r="E194" s="53">
        <v>2308.1000000000004</v>
      </c>
      <c r="F194" s="48">
        <f t="shared" si="100"/>
        <v>30858.69999999999</v>
      </c>
      <c r="G194" s="51">
        <v>0</v>
      </c>
      <c r="H194" s="56">
        <v>400</v>
      </c>
      <c r="I194" s="51">
        <v>0</v>
      </c>
      <c r="J194" s="115">
        <v>-15503.154488999993</v>
      </c>
      <c r="K194" s="118">
        <f t="shared" si="101"/>
        <v>-15503.154488999993</v>
      </c>
      <c r="L194" s="45">
        <f>K194+H194+G194</f>
        <v>-15103.154488999993</v>
      </c>
      <c r="M194" s="47">
        <f t="shared" si="102"/>
        <v>15755.545510999997</v>
      </c>
      <c r="N194" s="57">
        <v>-5797.071393049795</v>
      </c>
      <c r="O194" s="81">
        <f>M194+N194+B194</f>
        <v>12993.169580150354</v>
      </c>
    </row>
    <row r="195" spans="1:15" ht="15.75" hidden="1">
      <c r="A195" s="86" t="s">
        <v>77</v>
      </c>
      <c r="B195" s="56">
        <v>4443.408322574099</v>
      </c>
      <c r="C195" s="47">
        <v>-20086.1</v>
      </c>
      <c r="D195" s="53">
        <v>208.6999999999971</v>
      </c>
      <c r="E195" s="53">
        <v>-1773.2000000000007</v>
      </c>
      <c r="F195" s="48">
        <f t="shared" si="100"/>
        <v>-21650.600000000002</v>
      </c>
      <c r="G195" s="51">
        <v>0</v>
      </c>
      <c r="H195" s="56">
        <v>8600</v>
      </c>
      <c r="I195" s="51">
        <v>0</v>
      </c>
      <c r="J195" s="115">
        <v>29710.461741000036</v>
      </c>
      <c r="K195" s="118">
        <f t="shared" si="101"/>
        <v>29710.461741000036</v>
      </c>
      <c r="L195" s="45">
        <f aca="true" t="shared" si="103" ref="L195:L202">K195+H195+G195</f>
        <v>38310.461741000036</v>
      </c>
      <c r="M195" s="47">
        <f t="shared" si="102"/>
        <v>16659.861741000033</v>
      </c>
      <c r="N195" s="57">
        <v>-4537.352577787722</v>
      </c>
      <c r="O195" s="81">
        <f aca="true" t="shared" si="104" ref="O195:O201">M195+N195+B195</f>
        <v>16565.91748578641</v>
      </c>
    </row>
    <row r="196" spans="1:15" ht="15.75" hidden="1">
      <c r="A196" s="86" t="s">
        <v>67</v>
      </c>
      <c r="B196" s="56">
        <v>-267.2849067848</v>
      </c>
      <c r="C196" s="47">
        <v>20204.999999999993</v>
      </c>
      <c r="D196" s="53">
        <v>-4200.299999999993</v>
      </c>
      <c r="E196" s="53">
        <v>4242.699999999999</v>
      </c>
      <c r="F196" s="48">
        <f t="shared" si="100"/>
        <v>20247.4</v>
      </c>
      <c r="G196" s="51">
        <v>0</v>
      </c>
      <c r="H196" s="56">
        <v>2320</v>
      </c>
      <c r="I196" s="51">
        <v>0</v>
      </c>
      <c r="J196" s="115">
        <v>-13178.091678000084</v>
      </c>
      <c r="K196" s="118">
        <f t="shared" si="101"/>
        <v>-13178.091678000084</v>
      </c>
      <c r="L196" s="45">
        <f t="shared" si="103"/>
        <v>-10858.091678000084</v>
      </c>
      <c r="M196" s="47">
        <f t="shared" si="102"/>
        <v>9389.308321999917</v>
      </c>
      <c r="N196" s="57">
        <v>-665.040626479924</v>
      </c>
      <c r="O196" s="81">
        <f t="shared" si="104"/>
        <v>8456.982788735193</v>
      </c>
    </row>
    <row r="197" spans="1:15" ht="15.75" hidden="1">
      <c r="A197" s="86" t="s">
        <v>68</v>
      </c>
      <c r="B197" s="56">
        <v>11860.27891648023</v>
      </c>
      <c r="C197" s="47">
        <v>16097.400000000009</v>
      </c>
      <c r="D197" s="53">
        <v>-15278.199999999997</v>
      </c>
      <c r="E197" s="53">
        <v>-1771.3999999999978</v>
      </c>
      <c r="F197" s="48">
        <f t="shared" si="100"/>
        <v>-952.1999999999862</v>
      </c>
      <c r="G197" s="51">
        <v>0</v>
      </c>
      <c r="H197" s="56">
        <v>-2123.300000000003</v>
      </c>
      <c r="I197" s="49">
        <v>0</v>
      </c>
      <c r="J197" s="115">
        <v>20664.674251000106</v>
      </c>
      <c r="K197" s="118">
        <f aca="true" t="shared" si="105" ref="K197:K202">+I197+J197</f>
        <v>20664.674251000106</v>
      </c>
      <c r="L197" s="45">
        <f t="shared" si="103"/>
        <v>18541.374251000103</v>
      </c>
      <c r="M197" s="47">
        <f t="shared" si="102"/>
        <v>17589.174251000117</v>
      </c>
      <c r="N197" s="57">
        <v>-6327.953514268946</v>
      </c>
      <c r="O197" s="81">
        <f t="shared" si="104"/>
        <v>23121.499653211402</v>
      </c>
    </row>
    <row r="198" spans="1:15" ht="15.75" hidden="1">
      <c r="A198" s="86" t="s">
        <v>69</v>
      </c>
      <c r="B198" s="56">
        <v>3190.411101270302</v>
      </c>
      <c r="C198" s="47">
        <v>12082</v>
      </c>
      <c r="D198" s="53">
        <v>-8953.400000000005</v>
      </c>
      <c r="E198" s="53">
        <v>-2476.9000000000015</v>
      </c>
      <c r="F198" s="48">
        <f t="shared" si="100"/>
        <v>651.6999999999935</v>
      </c>
      <c r="G198" s="51">
        <v>0</v>
      </c>
      <c r="H198" s="56">
        <v>3709.2000000000044</v>
      </c>
      <c r="I198" s="49">
        <v>0</v>
      </c>
      <c r="J198" s="115">
        <v>15593.266799999983</v>
      </c>
      <c r="K198" s="118">
        <f t="shared" si="105"/>
        <v>15593.266799999983</v>
      </c>
      <c r="L198" s="45">
        <f t="shared" si="103"/>
        <v>19302.466799999987</v>
      </c>
      <c r="M198" s="47">
        <f t="shared" si="102"/>
        <v>19954.16679999998</v>
      </c>
      <c r="N198" s="57">
        <v>-7576.615087686694</v>
      </c>
      <c r="O198" s="81">
        <f t="shared" si="104"/>
        <v>15567.962813583588</v>
      </c>
    </row>
    <row r="199" spans="1:15" ht="15.75" hidden="1">
      <c r="A199" s="86" t="s">
        <v>26</v>
      </c>
      <c r="B199" s="56">
        <v>10476.561392078489</v>
      </c>
      <c r="C199" s="47">
        <v>-25063.500000000007</v>
      </c>
      <c r="D199" s="53">
        <v>-6087.199999999995</v>
      </c>
      <c r="E199" s="53">
        <v>-121.69999999999891</v>
      </c>
      <c r="F199" s="48">
        <f t="shared" si="100"/>
        <v>-31272.4</v>
      </c>
      <c r="G199" s="51">
        <v>0</v>
      </c>
      <c r="H199" s="56">
        <v>11200</v>
      </c>
      <c r="I199" s="49">
        <v>0</v>
      </c>
      <c r="J199" s="115">
        <v>18720.045730000013</v>
      </c>
      <c r="K199" s="118">
        <f t="shared" si="105"/>
        <v>18720.045730000013</v>
      </c>
      <c r="L199" s="45">
        <f t="shared" si="103"/>
        <v>29920.045730000013</v>
      </c>
      <c r="M199" s="47">
        <f t="shared" si="102"/>
        <v>-1352.354269999989</v>
      </c>
      <c r="N199" s="57">
        <v>-6384.005700350521</v>
      </c>
      <c r="O199" s="81">
        <f t="shared" si="104"/>
        <v>2740.2014217279793</v>
      </c>
    </row>
    <row r="200" spans="1:15" ht="15.75" hidden="1">
      <c r="A200" s="86" t="s">
        <v>71</v>
      </c>
      <c r="B200" s="56">
        <v>5006.426225105053</v>
      </c>
      <c r="C200" s="47">
        <v>25917.100000000013</v>
      </c>
      <c r="D200" s="53">
        <v>-18145.6</v>
      </c>
      <c r="E200" s="49">
        <v>0</v>
      </c>
      <c r="F200" s="48">
        <f t="shared" si="100"/>
        <v>7771.500000000015</v>
      </c>
      <c r="G200" s="51">
        <v>0</v>
      </c>
      <c r="H200" s="56">
        <v>8500</v>
      </c>
      <c r="I200" s="49">
        <v>0</v>
      </c>
      <c r="J200" s="115">
        <v>5105.343557999877</v>
      </c>
      <c r="K200" s="118">
        <f t="shared" si="105"/>
        <v>5105.343557999877</v>
      </c>
      <c r="L200" s="45">
        <f t="shared" si="103"/>
        <v>13605.343557999877</v>
      </c>
      <c r="M200" s="47">
        <f t="shared" si="102"/>
        <v>21376.84355799989</v>
      </c>
      <c r="N200" s="57">
        <v>-23457.264777613105</v>
      </c>
      <c r="O200" s="81">
        <f t="shared" si="104"/>
        <v>2926.0050054918393</v>
      </c>
    </row>
    <row r="201" spans="1:15" ht="15.75" hidden="1">
      <c r="A201" s="86" t="s">
        <v>72</v>
      </c>
      <c r="B201" s="56">
        <v>47493.99907409349</v>
      </c>
      <c r="C201" s="47">
        <v>20888.40000000001</v>
      </c>
      <c r="D201" s="53">
        <v>15490.6</v>
      </c>
      <c r="E201" s="49">
        <v>0</v>
      </c>
      <c r="F201" s="48">
        <f t="shared" si="100"/>
        <v>36379.00000000001</v>
      </c>
      <c r="G201" s="51">
        <v>0</v>
      </c>
      <c r="H201" s="56">
        <v>-8450.631000000008</v>
      </c>
      <c r="I201" s="49">
        <v>0</v>
      </c>
      <c r="J201" s="115">
        <v>-7158.897435999825</v>
      </c>
      <c r="K201" s="118">
        <f t="shared" si="105"/>
        <v>-7158.897435999825</v>
      </c>
      <c r="L201" s="45">
        <f t="shared" si="103"/>
        <v>-15609.528435999833</v>
      </c>
      <c r="M201" s="47">
        <f>+F201+L201</f>
        <v>20769.471564000174</v>
      </c>
      <c r="N201" s="57">
        <v>-8744.341250558187</v>
      </c>
      <c r="O201" s="81">
        <f t="shared" si="104"/>
        <v>59519.129387535475</v>
      </c>
    </row>
    <row r="202" spans="1:15" ht="15.75" hidden="1">
      <c r="A202" s="86" t="s">
        <v>73</v>
      </c>
      <c r="B202" s="56">
        <v>9931.482925611099</v>
      </c>
      <c r="C202" s="47">
        <v>39637.5</v>
      </c>
      <c r="D202" s="53">
        <v>15106.499999999995</v>
      </c>
      <c r="E202" s="49">
        <v>0</v>
      </c>
      <c r="F202" s="48">
        <f t="shared" si="100"/>
        <v>54743.99999999999</v>
      </c>
      <c r="G202" s="51">
        <v>0</v>
      </c>
      <c r="H202" s="56">
        <v>-2599.9999999999927</v>
      </c>
      <c r="I202" s="49">
        <v>0</v>
      </c>
      <c r="J202" s="115">
        <v>-28576.807443000027</v>
      </c>
      <c r="K202" s="118">
        <f t="shared" si="105"/>
        <v>-28576.807443000027</v>
      </c>
      <c r="L202" s="45">
        <f t="shared" si="103"/>
        <v>-31176.80744300002</v>
      </c>
      <c r="M202" s="47">
        <f>+F202+L202</f>
        <v>23567.192556999973</v>
      </c>
      <c r="N202" s="57">
        <v>-18893.326075611076</v>
      </c>
      <c r="O202" s="81">
        <f>M202+N202+B202</f>
        <v>14605.349406999996</v>
      </c>
    </row>
    <row r="203" spans="1:15" ht="15.75" hidden="1">
      <c r="A203" s="86"/>
      <c r="B203" s="56"/>
      <c r="C203" s="47"/>
      <c r="D203" s="53"/>
      <c r="E203" s="63"/>
      <c r="F203" s="48"/>
      <c r="G203" s="51"/>
      <c r="H203" s="56"/>
      <c r="I203" s="49"/>
      <c r="J203" s="114"/>
      <c r="K203" s="49"/>
      <c r="L203" s="48"/>
      <c r="M203" s="52"/>
      <c r="N203" s="57"/>
      <c r="O203" s="81"/>
    </row>
    <row r="204" spans="1:17" ht="15.75" hidden="1">
      <c r="A204" s="86" t="s">
        <v>62</v>
      </c>
      <c r="B204" s="56">
        <v>914.41107190386</v>
      </c>
      <c r="C204" s="47">
        <v>-37968.98054699997</v>
      </c>
      <c r="D204" s="53">
        <v>699.3</v>
      </c>
      <c r="E204" s="53">
        <v>-3127.9</v>
      </c>
      <c r="F204" s="48">
        <f aca="true" t="shared" si="106" ref="F204:F215">+C204+D204+E204</f>
        <v>-40397.58054699997</v>
      </c>
      <c r="G204" s="48">
        <v>-506.79999999999995</v>
      </c>
      <c r="H204" s="56">
        <v>-3246.800000000003</v>
      </c>
      <c r="I204" s="49">
        <v>0</v>
      </c>
      <c r="J204" s="115">
        <v>11644.8</v>
      </c>
      <c r="K204" s="56">
        <f>+I204+J204</f>
        <v>11644.8</v>
      </c>
      <c r="L204" s="45">
        <f aca="true" t="shared" si="107" ref="L204:L218">K204+H204+G204</f>
        <v>7891.199999999996</v>
      </c>
      <c r="M204" s="47">
        <f aca="true" t="shared" si="108" ref="M204:M218">+F204+L204</f>
        <v>-32506.38054699997</v>
      </c>
      <c r="N204" s="57">
        <v>18928.6</v>
      </c>
      <c r="O204" s="81">
        <f aca="true" t="shared" si="109" ref="O204:O218">M204+N204+B204</f>
        <v>-12663.369475096113</v>
      </c>
      <c r="P204" s="8"/>
      <c r="Q204" s="4"/>
    </row>
    <row r="205" spans="1:17" ht="15.75" hidden="1">
      <c r="A205" s="86" t="s">
        <v>66</v>
      </c>
      <c r="B205" s="56">
        <v>1174.0520485133395</v>
      </c>
      <c r="C205" s="47">
        <v>-16322.219453000009</v>
      </c>
      <c r="D205" s="53">
        <v>5737.700000000003</v>
      </c>
      <c r="E205" s="53">
        <v>-71.39999999999964</v>
      </c>
      <c r="F205" s="48">
        <f t="shared" si="106"/>
        <v>-10655.919453000006</v>
      </c>
      <c r="G205" s="51">
        <v>0</v>
      </c>
      <c r="H205" s="56">
        <v>-2546.0999999999985</v>
      </c>
      <c r="I205" s="49">
        <v>0</v>
      </c>
      <c r="J205" s="114">
        <v>0</v>
      </c>
      <c r="K205" s="49">
        <f>+I205+J205</f>
        <v>0</v>
      </c>
      <c r="L205" s="45">
        <f t="shared" si="107"/>
        <v>-2546.0999999999985</v>
      </c>
      <c r="M205" s="47">
        <f t="shared" si="108"/>
        <v>-13202.019453000004</v>
      </c>
      <c r="N205" s="57">
        <v>-266.2912119507728</v>
      </c>
      <c r="O205" s="81">
        <f t="shared" si="109"/>
        <v>-12294.258616437437</v>
      </c>
      <c r="P205" s="8"/>
      <c r="Q205" s="4"/>
    </row>
    <row r="206" spans="1:17" ht="15.75" hidden="1">
      <c r="A206" s="86" t="s">
        <v>75</v>
      </c>
      <c r="B206" s="56">
        <v>754.2335457631402</v>
      </c>
      <c r="C206" s="47">
        <v>39409.800688</v>
      </c>
      <c r="D206" s="53">
        <v>-25106.499999999996</v>
      </c>
      <c r="E206" s="53">
        <v>2842.7999999999993</v>
      </c>
      <c r="F206" s="48">
        <f t="shared" si="106"/>
        <v>17146.100688000006</v>
      </c>
      <c r="G206" s="51">
        <v>0</v>
      </c>
      <c r="H206" s="56">
        <v>4400</v>
      </c>
      <c r="I206" s="49">
        <v>0</v>
      </c>
      <c r="J206" s="114">
        <v>0</v>
      </c>
      <c r="K206" s="49">
        <f>+I206+J206</f>
        <v>0</v>
      </c>
      <c r="L206" s="45">
        <f t="shared" si="107"/>
        <v>4400</v>
      </c>
      <c r="M206" s="47">
        <f t="shared" si="108"/>
        <v>21546.100688000006</v>
      </c>
      <c r="N206" s="57">
        <v>-9999.7</v>
      </c>
      <c r="O206" s="81">
        <f t="shared" si="109"/>
        <v>12300.634233763145</v>
      </c>
      <c r="P206" s="8"/>
      <c r="Q206" s="4"/>
    </row>
    <row r="207" spans="1:17" ht="15.75" hidden="1">
      <c r="A207" s="86" t="s">
        <v>76</v>
      </c>
      <c r="B207" s="56">
        <v>-716.7408313828</v>
      </c>
      <c r="C207" s="47">
        <v>25462</v>
      </c>
      <c r="D207" s="53">
        <v>11366.399999999992</v>
      </c>
      <c r="E207" s="53">
        <v>1875.699999999999</v>
      </c>
      <c r="F207" s="48">
        <f t="shared" si="106"/>
        <v>38704.09999999999</v>
      </c>
      <c r="G207" s="51">
        <v>0</v>
      </c>
      <c r="H207" s="56">
        <v>361</v>
      </c>
      <c r="I207" s="49">
        <v>0</v>
      </c>
      <c r="J207" s="114">
        <v>0</v>
      </c>
      <c r="K207" s="49">
        <f>+I207+J207</f>
        <v>0</v>
      </c>
      <c r="L207" s="45">
        <f t="shared" si="107"/>
        <v>361</v>
      </c>
      <c r="M207" s="47">
        <f>+F207+L207</f>
        <v>39065.09999999999</v>
      </c>
      <c r="N207" s="57">
        <v>13441.6</v>
      </c>
      <c r="O207" s="81">
        <f t="shared" si="109"/>
        <v>51789.95916861719</v>
      </c>
      <c r="P207" s="8"/>
      <c r="Q207" s="4"/>
    </row>
    <row r="208" spans="1:17" ht="15.75" hidden="1">
      <c r="A208" s="86" t="s">
        <v>77</v>
      </c>
      <c r="B208" s="56">
        <v>1812.0704415066</v>
      </c>
      <c r="C208" s="47">
        <v>-23927.099999999948</v>
      </c>
      <c r="D208" s="53">
        <v>20921.4</v>
      </c>
      <c r="E208" s="49">
        <v>0</v>
      </c>
      <c r="F208" s="48">
        <f t="shared" si="106"/>
        <v>-3005.699999999946</v>
      </c>
      <c r="G208" s="51">
        <v>0</v>
      </c>
      <c r="H208" s="56">
        <v>4296.799999999996</v>
      </c>
      <c r="I208" s="49">
        <v>0</v>
      </c>
      <c r="J208" s="114">
        <v>0</v>
      </c>
      <c r="K208" s="49">
        <f>+I208+J208</f>
        <v>0</v>
      </c>
      <c r="L208" s="45">
        <f t="shared" si="107"/>
        <v>4296.799999999996</v>
      </c>
      <c r="M208" s="47">
        <f t="shared" si="108"/>
        <v>1291.1000000000495</v>
      </c>
      <c r="N208" s="57">
        <v>-19657.5</v>
      </c>
      <c r="O208" s="81">
        <f t="shared" si="109"/>
        <v>-16554.32955849335</v>
      </c>
      <c r="P208" s="8"/>
      <c r="Q208" s="4"/>
    </row>
    <row r="209" spans="1:17" ht="15.75" hidden="1">
      <c r="A209" s="86" t="s">
        <v>67</v>
      </c>
      <c r="B209" s="56">
        <v>-113.672671840232</v>
      </c>
      <c r="C209" s="47">
        <v>7806.299999999974</v>
      </c>
      <c r="D209" s="53">
        <v>-10767.299999999997</v>
      </c>
      <c r="E209" s="63">
        <v>0</v>
      </c>
      <c r="F209" s="48">
        <f t="shared" si="106"/>
        <v>-2961.0000000000236</v>
      </c>
      <c r="G209" s="48">
        <v>-327</v>
      </c>
      <c r="H209" s="56">
        <v>5311.100000000006</v>
      </c>
      <c r="I209" s="49">
        <v>0</v>
      </c>
      <c r="J209" s="114">
        <v>0</v>
      </c>
      <c r="K209" s="49">
        <f aca="true" t="shared" si="110" ref="K209:K217">+I209+J209</f>
        <v>0</v>
      </c>
      <c r="L209" s="45">
        <f t="shared" si="107"/>
        <v>4984.100000000006</v>
      </c>
      <c r="M209" s="47">
        <f t="shared" si="108"/>
        <v>2023.0999999999822</v>
      </c>
      <c r="N209" s="57">
        <v>-2732.5</v>
      </c>
      <c r="O209" s="81">
        <f t="shared" si="109"/>
        <v>-823.0726718402498</v>
      </c>
      <c r="P209" s="8"/>
      <c r="Q209" s="4"/>
    </row>
    <row r="210" spans="1:17" ht="15.75" hidden="1">
      <c r="A210" s="86" t="s">
        <v>68</v>
      </c>
      <c r="B210" s="56">
        <v>1810.9421475654217</v>
      </c>
      <c r="C210" s="47">
        <v>-37492.49999999997</v>
      </c>
      <c r="D210" s="53">
        <v>39200.7</v>
      </c>
      <c r="E210" s="63">
        <v>0</v>
      </c>
      <c r="F210" s="48">
        <f t="shared" si="106"/>
        <v>1708.2000000000262</v>
      </c>
      <c r="G210" s="51">
        <v>0</v>
      </c>
      <c r="H210" s="56">
        <v>1914</v>
      </c>
      <c r="I210" s="49">
        <v>0</v>
      </c>
      <c r="J210" s="114">
        <v>0</v>
      </c>
      <c r="K210" s="49">
        <f t="shared" si="110"/>
        <v>0</v>
      </c>
      <c r="L210" s="45">
        <f t="shared" si="107"/>
        <v>1914</v>
      </c>
      <c r="M210" s="47">
        <f t="shared" si="108"/>
        <v>3622.200000000026</v>
      </c>
      <c r="N210" s="57">
        <v>23690.4</v>
      </c>
      <c r="O210" s="81">
        <f t="shared" si="109"/>
        <v>29123.54214756545</v>
      </c>
      <c r="P210" s="8"/>
      <c r="Q210" s="4"/>
    </row>
    <row r="211" spans="1:17" ht="15.75" hidden="1">
      <c r="A211" s="86" t="s">
        <v>69</v>
      </c>
      <c r="B211" s="56">
        <v>380.1</v>
      </c>
      <c r="C211" s="47">
        <v>34410.6</v>
      </c>
      <c r="D211" s="53">
        <v>-3050</v>
      </c>
      <c r="E211" s="63">
        <v>0</v>
      </c>
      <c r="F211" s="48">
        <f t="shared" si="106"/>
        <v>31360.6</v>
      </c>
      <c r="G211" s="51">
        <v>0</v>
      </c>
      <c r="H211" s="56">
        <v>-238.8</v>
      </c>
      <c r="I211" s="49">
        <v>0</v>
      </c>
      <c r="J211" s="114">
        <v>0</v>
      </c>
      <c r="K211" s="49">
        <f t="shared" si="110"/>
        <v>0</v>
      </c>
      <c r="L211" s="45">
        <f t="shared" si="107"/>
        <v>-238.8</v>
      </c>
      <c r="M211" s="47">
        <f t="shared" si="108"/>
        <v>31121.8</v>
      </c>
      <c r="N211" s="57">
        <v>-13021.1</v>
      </c>
      <c r="O211" s="81">
        <f t="shared" si="109"/>
        <v>18480.799999999996</v>
      </c>
      <c r="P211" s="8"/>
      <c r="Q211" s="4"/>
    </row>
    <row r="212" spans="1:17" ht="15.75" hidden="1">
      <c r="A212" s="86" t="s">
        <v>26</v>
      </c>
      <c r="B212" s="56">
        <v>-210.5999999999999</v>
      </c>
      <c r="C212" s="47">
        <v>-4071.0999999999767</v>
      </c>
      <c r="D212" s="53">
        <v>-3032.400000000004</v>
      </c>
      <c r="E212" s="63">
        <v>0</v>
      </c>
      <c r="F212" s="48">
        <f t="shared" si="106"/>
        <v>-7103.499999999981</v>
      </c>
      <c r="G212" s="51">
        <v>0</v>
      </c>
      <c r="H212" s="56">
        <v>-4100</v>
      </c>
      <c r="I212" s="49">
        <v>0</v>
      </c>
      <c r="J212" s="114">
        <v>0</v>
      </c>
      <c r="K212" s="49">
        <f t="shared" si="110"/>
        <v>0</v>
      </c>
      <c r="L212" s="45">
        <f t="shared" si="107"/>
        <v>-4100</v>
      </c>
      <c r="M212" s="47">
        <f t="shared" si="108"/>
        <v>-11203.499999999982</v>
      </c>
      <c r="N212" s="57">
        <v>12612.6</v>
      </c>
      <c r="O212" s="81">
        <f t="shared" si="109"/>
        <v>1198.5000000000186</v>
      </c>
      <c r="P212" s="8"/>
      <c r="Q212" s="4"/>
    </row>
    <row r="213" spans="1:17" ht="15.75" hidden="1">
      <c r="A213" s="86" t="s">
        <v>71</v>
      </c>
      <c r="B213" s="56">
        <v>-345.60000000000014</v>
      </c>
      <c r="C213" s="47">
        <v>9318.399999999965</v>
      </c>
      <c r="D213" s="53">
        <v>20089.700000000004</v>
      </c>
      <c r="E213" s="63">
        <v>0</v>
      </c>
      <c r="F213" s="48">
        <f t="shared" si="106"/>
        <v>29408.09999999997</v>
      </c>
      <c r="G213" s="51">
        <v>0</v>
      </c>
      <c r="H213" s="56">
        <v>7075</v>
      </c>
      <c r="I213" s="49">
        <v>0</v>
      </c>
      <c r="J213" s="114">
        <v>0</v>
      </c>
      <c r="K213" s="49">
        <f t="shared" si="110"/>
        <v>0</v>
      </c>
      <c r="L213" s="45">
        <f t="shared" si="107"/>
        <v>7075</v>
      </c>
      <c r="M213" s="47">
        <f t="shared" si="108"/>
        <v>36483.09999999997</v>
      </c>
      <c r="N213" s="57">
        <v>-21038.3</v>
      </c>
      <c r="O213" s="81">
        <f t="shared" si="109"/>
        <v>15099.19999999997</v>
      </c>
      <c r="P213" s="8"/>
      <c r="Q213" s="4"/>
    </row>
    <row r="214" spans="1:17" ht="15.75" hidden="1">
      <c r="A214" s="86" t="s">
        <v>72</v>
      </c>
      <c r="B214" s="56">
        <v>-677.6</v>
      </c>
      <c r="C214" s="47">
        <v>25211.1</v>
      </c>
      <c r="D214" s="53">
        <v>-4119.6</v>
      </c>
      <c r="E214" s="53">
        <v>1139.3</v>
      </c>
      <c r="F214" s="48">
        <f t="shared" si="106"/>
        <v>22230.8</v>
      </c>
      <c r="G214" s="51">
        <v>0</v>
      </c>
      <c r="H214" s="56">
        <v>-242.1</v>
      </c>
      <c r="I214" s="49">
        <v>0</v>
      </c>
      <c r="J214" s="114">
        <v>0</v>
      </c>
      <c r="K214" s="49">
        <f t="shared" si="110"/>
        <v>0</v>
      </c>
      <c r="L214" s="45">
        <f t="shared" si="107"/>
        <v>-242.1</v>
      </c>
      <c r="M214" s="47">
        <f t="shared" si="108"/>
        <v>21988.7</v>
      </c>
      <c r="N214" s="57">
        <v>3828.9</v>
      </c>
      <c r="O214" s="81">
        <f t="shared" si="109"/>
        <v>25140.000000000004</v>
      </c>
      <c r="P214" s="8"/>
      <c r="Q214" s="4"/>
    </row>
    <row r="215" spans="1:17" ht="15.75" hidden="1">
      <c r="A215" s="86" t="s">
        <v>73</v>
      </c>
      <c r="B215" s="56">
        <f>205.8-476.9</f>
        <v>-271.09999999999997</v>
      </c>
      <c r="C215" s="47">
        <v>-18457.40000000001</v>
      </c>
      <c r="D215" s="53">
        <v>-11445.400000000009</v>
      </c>
      <c r="E215" s="63">
        <v>0</v>
      </c>
      <c r="F215" s="48">
        <f t="shared" si="106"/>
        <v>-29902.800000000017</v>
      </c>
      <c r="G215" s="51">
        <v>0</v>
      </c>
      <c r="H215" s="56">
        <v>-825.2999999999884</v>
      </c>
      <c r="I215" s="49">
        <v>0</v>
      </c>
      <c r="J215" s="114">
        <v>0</v>
      </c>
      <c r="K215" s="56">
        <v>38000</v>
      </c>
      <c r="L215" s="45">
        <f t="shared" si="107"/>
        <v>37174.70000000001</v>
      </c>
      <c r="M215" s="47">
        <f t="shared" si="108"/>
        <v>7271.899999999994</v>
      </c>
      <c r="N215" s="57">
        <v>-6430.7</v>
      </c>
      <c r="O215" s="81">
        <f t="shared" si="109"/>
        <v>570.0999999999945</v>
      </c>
      <c r="P215" s="8"/>
      <c r="Q215" s="4"/>
    </row>
    <row r="216" spans="1:17" ht="15.75" hidden="1">
      <c r="A216" s="86"/>
      <c r="B216" s="56"/>
      <c r="C216" s="47"/>
      <c r="D216" s="53"/>
      <c r="E216" s="53"/>
      <c r="F216" s="48"/>
      <c r="G216" s="51"/>
      <c r="H216" s="56"/>
      <c r="I216" s="49"/>
      <c r="J216" s="114"/>
      <c r="K216" s="49"/>
      <c r="L216" s="45"/>
      <c r="M216" s="47"/>
      <c r="N216" s="57"/>
      <c r="O216" s="81"/>
      <c r="P216" s="8"/>
      <c r="Q216" s="4"/>
    </row>
    <row r="217" spans="1:17" ht="15.75" hidden="1">
      <c r="A217" s="86" t="s">
        <v>65</v>
      </c>
      <c r="B217" s="56">
        <v>11941.2</v>
      </c>
      <c r="C217" s="47">
        <v>-20955.4</v>
      </c>
      <c r="D217" s="53">
        <v>11113.200000000006</v>
      </c>
      <c r="E217" s="53">
        <v>-3167.800000000001</v>
      </c>
      <c r="F217" s="48">
        <f aca="true" t="shared" si="111" ref="F217:F223">+C217+D217+E217</f>
        <v>-13009.999999999996</v>
      </c>
      <c r="G217" s="51">
        <v>0</v>
      </c>
      <c r="H217" s="56">
        <v>-3000</v>
      </c>
      <c r="I217" s="49">
        <v>0</v>
      </c>
      <c r="J217" s="114">
        <v>0</v>
      </c>
      <c r="K217" s="49">
        <f t="shared" si="110"/>
        <v>0</v>
      </c>
      <c r="L217" s="45">
        <f t="shared" si="107"/>
        <v>-3000</v>
      </c>
      <c r="M217" s="47">
        <f t="shared" si="108"/>
        <v>-16009.999999999996</v>
      </c>
      <c r="N217" s="57">
        <v>3541.7889419999847</v>
      </c>
      <c r="O217" s="81">
        <f t="shared" si="109"/>
        <v>-527.011058000011</v>
      </c>
      <c r="P217" s="8"/>
      <c r="Q217" s="4"/>
    </row>
    <row r="218" spans="1:17" ht="15.75" hidden="1">
      <c r="A218" s="86" t="s">
        <v>66</v>
      </c>
      <c r="B218" s="56">
        <v>17133.100000000002</v>
      </c>
      <c r="C218" s="47">
        <v>10643.200000000012</v>
      </c>
      <c r="D218" s="53">
        <v>3335.7999999999997</v>
      </c>
      <c r="E218" s="53">
        <v>1689.3999999999996</v>
      </c>
      <c r="F218" s="48">
        <f t="shared" si="111"/>
        <v>15668.40000000001</v>
      </c>
      <c r="G218" s="51">
        <v>0</v>
      </c>
      <c r="H218" s="56">
        <v>2062.0999999999913</v>
      </c>
      <c r="I218" s="49">
        <v>0</v>
      </c>
      <c r="J218" s="114">
        <v>0</v>
      </c>
      <c r="K218" s="49">
        <f aca="true" t="shared" si="112" ref="K218:K223">+I218+J218</f>
        <v>0</v>
      </c>
      <c r="L218" s="45">
        <f t="shared" si="107"/>
        <v>2062.0999999999913</v>
      </c>
      <c r="M218" s="47">
        <f t="shared" si="108"/>
        <v>17730.5</v>
      </c>
      <c r="N218" s="57">
        <v>19168.31593499999</v>
      </c>
      <c r="O218" s="81">
        <f t="shared" si="109"/>
        <v>54031.915935</v>
      </c>
      <c r="P218" s="8"/>
      <c r="Q218" s="4"/>
    </row>
    <row r="219" spans="1:17" ht="15.75" hidden="1">
      <c r="A219" s="86" t="s">
        <v>75</v>
      </c>
      <c r="B219" s="56">
        <v>3526.9</v>
      </c>
      <c r="C219" s="47">
        <v>17685.1</v>
      </c>
      <c r="D219" s="53">
        <v>-9089.700000000006</v>
      </c>
      <c r="E219" s="53">
        <v>-4428.4</v>
      </c>
      <c r="F219" s="48">
        <f t="shared" si="111"/>
        <v>4166.999999999993</v>
      </c>
      <c r="G219" s="51">
        <v>0</v>
      </c>
      <c r="H219" s="56">
        <v>4283.900000000009</v>
      </c>
      <c r="I219" s="49">
        <v>0</v>
      </c>
      <c r="J219" s="114">
        <v>0</v>
      </c>
      <c r="K219" s="49">
        <f t="shared" si="112"/>
        <v>0</v>
      </c>
      <c r="L219" s="45">
        <f aca="true" t="shared" si="113" ref="L219:L227">K219+H219+G219</f>
        <v>4283.900000000009</v>
      </c>
      <c r="M219" s="47">
        <f aca="true" t="shared" si="114" ref="M219:M237">+F219+L219</f>
        <v>8450.900000000001</v>
      </c>
      <c r="N219" s="57">
        <v>24978.316596999997</v>
      </c>
      <c r="O219" s="81">
        <f aca="true" t="shared" si="115" ref="O219:O238">M219+N219+B219</f>
        <v>36956.116597</v>
      </c>
      <c r="P219" s="8"/>
      <c r="Q219" s="4"/>
    </row>
    <row r="220" spans="1:17" ht="15.75" hidden="1">
      <c r="A220" s="86" t="s">
        <v>76</v>
      </c>
      <c r="B220" s="56">
        <v>2437.5</v>
      </c>
      <c r="C220" s="47">
        <v>4937.499999999962</v>
      </c>
      <c r="D220" s="53">
        <v>36355.500000000015</v>
      </c>
      <c r="E220" s="53">
        <v>3814</v>
      </c>
      <c r="F220" s="48">
        <f t="shared" si="111"/>
        <v>45106.99999999998</v>
      </c>
      <c r="G220" s="51">
        <v>0</v>
      </c>
      <c r="H220" s="56">
        <v>75</v>
      </c>
      <c r="I220" s="49">
        <v>0</v>
      </c>
      <c r="J220" s="114">
        <v>0</v>
      </c>
      <c r="K220" s="49">
        <f t="shared" si="112"/>
        <v>0</v>
      </c>
      <c r="L220" s="45">
        <f t="shared" si="113"/>
        <v>75</v>
      </c>
      <c r="M220" s="47">
        <f t="shared" si="114"/>
        <v>45181.99999999998</v>
      </c>
      <c r="N220" s="57">
        <v>-42379.73985599998</v>
      </c>
      <c r="O220" s="81">
        <f t="shared" si="115"/>
        <v>5239.760144</v>
      </c>
      <c r="P220" s="8"/>
      <c r="Q220" s="4"/>
    </row>
    <row r="221" spans="1:17" ht="15.75" hidden="1">
      <c r="A221" s="86" t="s">
        <v>77</v>
      </c>
      <c r="B221" s="56">
        <v>3288.6</v>
      </c>
      <c r="C221" s="47">
        <v>-6322.099999999986</v>
      </c>
      <c r="D221" s="53">
        <v>-7460.400000000018</v>
      </c>
      <c r="E221" s="53">
        <v>-1346</v>
      </c>
      <c r="F221" s="48">
        <f t="shared" si="111"/>
        <v>-15128.500000000004</v>
      </c>
      <c r="G221" s="51">
        <v>0</v>
      </c>
      <c r="H221" s="56">
        <v>12070.619999999995</v>
      </c>
      <c r="I221" s="49">
        <v>0</v>
      </c>
      <c r="J221" s="114">
        <v>0</v>
      </c>
      <c r="K221" s="49">
        <f t="shared" si="112"/>
        <v>0</v>
      </c>
      <c r="L221" s="45">
        <f t="shared" si="113"/>
        <v>12070.619999999995</v>
      </c>
      <c r="M221" s="47">
        <f t="shared" si="114"/>
        <v>-3057.8800000000083</v>
      </c>
      <c r="N221" s="57">
        <v>30387.375061000042</v>
      </c>
      <c r="O221" s="81">
        <f t="shared" si="115"/>
        <v>30618.095061000033</v>
      </c>
      <c r="P221" s="8"/>
      <c r="Q221" s="4"/>
    </row>
    <row r="222" spans="1:17" ht="15.75" hidden="1">
      <c r="A222" s="86" t="s">
        <v>67</v>
      </c>
      <c r="B222" s="56">
        <v>1965.9</v>
      </c>
      <c r="C222" s="47">
        <v>27332.499999999996</v>
      </c>
      <c r="D222" s="53">
        <v>-6161.399999999981</v>
      </c>
      <c r="E222" s="53">
        <v>2896.800000000001</v>
      </c>
      <c r="F222" s="48">
        <f t="shared" si="111"/>
        <v>24067.900000000016</v>
      </c>
      <c r="G222" s="51">
        <v>0</v>
      </c>
      <c r="H222" s="56">
        <v>-3154.699999999997</v>
      </c>
      <c r="I222" s="49">
        <v>0</v>
      </c>
      <c r="J222" s="114">
        <v>0</v>
      </c>
      <c r="K222" s="49">
        <f t="shared" si="112"/>
        <v>0</v>
      </c>
      <c r="L222" s="45">
        <f t="shared" si="113"/>
        <v>-3154.699999999997</v>
      </c>
      <c r="M222" s="47">
        <f t="shared" si="114"/>
        <v>20913.20000000002</v>
      </c>
      <c r="N222" s="57">
        <v>-24626.470161400037</v>
      </c>
      <c r="O222" s="81">
        <f t="shared" si="115"/>
        <v>-1747.3701614000179</v>
      </c>
      <c r="P222" s="8"/>
      <c r="Q222" s="4"/>
    </row>
    <row r="223" spans="1:17" ht="15.75" hidden="1">
      <c r="A223" s="86" t="s">
        <v>68</v>
      </c>
      <c r="B223" s="56">
        <v>324.1999999999998</v>
      </c>
      <c r="C223" s="47">
        <v>15677.300000000007</v>
      </c>
      <c r="D223" s="53">
        <v>13945.8</v>
      </c>
      <c r="E223" s="63">
        <v>0</v>
      </c>
      <c r="F223" s="48">
        <f t="shared" si="111"/>
        <v>29623.100000000006</v>
      </c>
      <c r="G223" s="51">
        <v>0</v>
      </c>
      <c r="H223" s="56">
        <v>1425</v>
      </c>
      <c r="I223" s="49">
        <v>0</v>
      </c>
      <c r="J223" s="114">
        <v>0</v>
      </c>
      <c r="K223" s="49">
        <f t="shared" si="112"/>
        <v>0</v>
      </c>
      <c r="L223" s="45">
        <f t="shared" si="113"/>
        <v>1425</v>
      </c>
      <c r="M223" s="47">
        <f t="shared" si="114"/>
        <v>31048.100000000006</v>
      </c>
      <c r="N223" s="57">
        <v>-2468.536486000001</v>
      </c>
      <c r="O223" s="81">
        <f t="shared" si="115"/>
        <v>28903.763514000006</v>
      </c>
      <c r="P223" s="8"/>
      <c r="Q223" s="4"/>
    </row>
    <row r="224" spans="1:17" ht="15.75" hidden="1">
      <c r="A224" s="86" t="s">
        <v>69</v>
      </c>
      <c r="B224" s="56">
        <v>13078.2</v>
      </c>
      <c r="C224" s="47">
        <v>-15629.300000000017</v>
      </c>
      <c r="D224" s="53">
        <v>18263.300000000003</v>
      </c>
      <c r="E224" s="63">
        <v>0</v>
      </c>
      <c r="F224" s="48">
        <f>+C224+D224+E224</f>
        <v>2633.9999999999854</v>
      </c>
      <c r="G224" s="51">
        <v>0</v>
      </c>
      <c r="H224" s="56">
        <v>-6381.199999999997</v>
      </c>
      <c r="I224" s="49">
        <v>0</v>
      </c>
      <c r="J224" s="114">
        <v>0</v>
      </c>
      <c r="K224" s="49">
        <f aca="true" t="shared" si="116" ref="K224:K230">+I224+J224</f>
        <v>0</v>
      </c>
      <c r="L224" s="45">
        <f t="shared" si="113"/>
        <v>-6381.199999999997</v>
      </c>
      <c r="M224" s="47">
        <f t="shared" si="114"/>
        <v>-3747.2000000000116</v>
      </c>
      <c r="N224" s="57">
        <v>23857.74048700002</v>
      </c>
      <c r="O224" s="81">
        <f t="shared" si="115"/>
        <v>33188.74048700001</v>
      </c>
      <c r="P224" s="8"/>
      <c r="Q224" s="4"/>
    </row>
    <row r="225" spans="1:17" ht="15.75" hidden="1">
      <c r="A225" s="86" t="s">
        <v>26</v>
      </c>
      <c r="B225" s="56">
        <v>309.5</v>
      </c>
      <c r="C225" s="47">
        <v>-31998.499999999996</v>
      </c>
      <c r="D225" s="53">
        <v>-16636.900000000012</v>
      </c>
      <c r="E225" s="63">
        <v>0</v>
      </c>
      <c r="F225" s="48">
        <f>+C225+D225+E225</f>
        <v>-48635.40000000001</v>
      </c>
      <c r="G225" s="51">
        <v>0</v>
      </c>
      <c r="H225" s="56">
        <v>-4011.9000000000087</v>
      </c>
      <c r="I225" s="49">
        <v>0</v>
      </c>
      <c r="J225" s="114">
        <v>0</v>
      </c>
      <c r="K225" s="49">
        <f t="shared" si="116"/>
        <v>0</v>
      </c>
      <c r="L225" s="45">
        <f t="shared" si="113"/>
        <v>-4011.9000000000087</v>
      </c>
      <c r="M225" s="47">
        <f t="shared" si="114"/>
        <v>-52647.30000000002</v>
      </c>
      <c r="N225" s="57">
        <v>39791.51906319801</v>
      </c>
      <c r="O225" s="81">
        <f t="shared" si="115"/>
        <v>-12546.28093680201</v>
      </c>
      <c r="P225" s="8"/>
      <c r="Q225" s="4"/>
    </row>
    <row r="226" spans="1:17" ht="15.75" hidden="1">
      <c r="A226" s="86" t="s">
        <v>71</v>
      </c>
      <c r="B226" s="56">
        <v>-1047.9</v>
      </c>
      <c r="C226" s="47">
        <v>68103.29999999999</v>
      </c>
      <c r="D226" s="53">
        <v>5678.600000000011</v>
      </c>
      <c r="E226" s="63">
        <v>0</v>
      </c>
      <c r="F226" s="48">
        <f>+C226+D226+E226</f>
        <v>73781.9</v>
      </c>
      <c r="G226" s="51">
        <v>0</v>
      </c>
      <c r="H226" s="56">
        <v>196.84000000001106</v>
      </c>
      <c r="I226" s="49">
        <v>0</v>
      </c>
      <c r="J226" s="114">
        <v>0</v>
      </c>
      <c r="K226" s="49">
        <f t="shared" si="116"/>
        <v>0</v>
      </c>
      <c r="L226" s="45">
        <f t="shared" si="113"/>
        <v>196.84000000001106</v>
      </c>
      <c r="M226" s="47">
        <f t="shared" si="114"/>
        <v>73978.74</v>
      </c>
      <c r="N226" s="57">
        <v>-73937.53473300002</v>
      </c>
      <c r="O226" s="81">
        <f t="shared" si="115"/>
        <v>-1006.6947330000171</v>
      </c>
      <c r="P226" s="8"/>
      <c r="Q226" s="4"/>
    </row>
    <row r="227" spans="1:17" ht="15.75" hidden="1">
      <c r="A227" s="86" t="s">
        <v>72</v>
      </c>
      <c r="B227" s="56">
        <v>4305.6</v>
      </c>
      <c r="C227" s="47">
        <v>-35585.50000000003</v>
      </c>
      <c r="D227" s="53">
        <v>6314.799999999997</v>
      </c>
      <c r="E227" s="63">
        <v>0</v>
      </c>
      <c r="F227" s="48">
        <f>+C227+D227+E227</f>
        <v>-29270.700000000033</v>
      </c>
      <c r="G227" s="51">
        <v>0</v>
      </c>
      <c r="H227" s="56">
        <v>-6033.940000000002</v>
      </c>
      <c r="I227" s="49">
        <v>0</v>
      </c>
      <c r="J227" s="114">
        <v>0</v>
      </c>
      <c r="K227" s="49">
        <f t="shared" si="116"/>
        <v>0</v>
      </c>
      <c r="L227" s="45">
        <f t="shared" si="113"/>
        <v>-6033.940000000002</v>
      </c>
      <c r="M227" s="47">
        <f t="shared" si="114"/>
        <v>-35304.640000000036</v>
      </c>
      <c r="N227" s="57">
        <v>40607.447153000045</v>
      </c>
      <c r="O227" s="81">
        <f t="shared" si="115"/>
        <v>9608.40715300001</v>
      </c>
      <c r="P227" s="8"/>
      <c r="Q227" s="4"/>
    </row>
    <row r="228" spans="1:17" ht="15.75" hidden="1">
      <c r="A228" s="86" t="s">
        <v>73</v>
      </c>
      <c r="B228" s="56">
        <v>3232.2</v>
      </c>
      <c r="C228" s="47">
        <v>35679.10000000004</v>
      </c>
      <c r="D228" s="53">
        <v>22339.200000000004</v>
      </c>
      <c r="E228" s="63">
        <v>0</v>
      </c>
      <c r="F228" s="48">
        <f>+C228+D228+E228</f>
        <v>58018.30000000005</v>
      </c>
      <c r="G228" s="51">
        <v>0</v>
      </c>
      <c r="H228" s="56">
        <v>10591.660000000003</v>
      </c>
      <c r="I228" s="49">
        <v>0</v>
      </c>
      <c r="J228" s="114">
        <v>0</v>
      </c>
      <c r="K228" s="49">
        <f t="shared" si="116"/>
        <v>0</v>
      </c>
      <c r="L228" s="45">
        <f>K228+H228+G228</f>
        <v>10591.660000000003</v>
      </c>
      <c r="M228" s="47">
        <f t="shared" si="114"/>
        <v>68609.96000000005</v>
      </c>
      <c r="N228" s="57">
        <v>-72316.07657700004</v>
      </c>
      <c r="O228" s="81">
        <f t="shared" si="115"/>
        <v>-473.9165769999936</v>
      </c>
      <c r="P228" s="8"/>
      <c r="Q228" s="4"/>
    </row>
    <row r="229" spans="1:17" ht="15.75">
      <c r="A229" s="86"/>
      <c r="B229" s="56"/>
      <c r="C229" s="47"/>
      <c r="D229" s="53"/>
      <c r="E229" s="63"/>
      <c r="F229" s="48"/>
      <c r="G229" s="51"/>
      <c r="H229" s="56"/>
      <c r="I229" s="49">
        <v>0</v>
      </c>
      <c r="J229" s="114">
        <v>0</v>
      </c>
      <c r="K229" s="49">
        <f t="shared" si="116"/>
        <v>0</v>
      </c>
      <c r="L229" s="45"/>
      <c r="M229" s="47"/>
      <c r="N229" s="57"/>
      <c r="O229" s="81"/>
      <c r="P229" s="8"/>
      <c r="Q229" s="4"/>
    </row>
    <row r="230" spans="1:20" ht="15.75" hidden="1">
      <c r="A230" s="86" t="s">
        <v>70</v>
      </c>
      <c r="B230" s="56">
        <v>-531.829775</v>
      </c>
      <c r="C230" s="47">
        <v>-44275.90000000001</v>
      </c>
      <c r="D230" s="53">
        <v>23302.69999999996</v>
      </c>
      <c r="E230" s="63">
        <v>731</v>
      </c>
      <c r="F230" s="48">
        <f aca="true" t="shared" si="117" ref="F230:F252">+C230+D230+E230</f>
        <v>-20242.200000000048</v>
      </c>
      <c r="G230" s="51">
        <v>0</v>
      </c>
      <c r="H230" s="56">
        <v>-4397.860000000001</v>
      </c>
      <c r="I230" s="49">
        <v>0</v>
      </c>
      <c r="J230" s="49">
        <v>0</v>
      </c>
      <c r="K230" s="49">
        <f t="shared" si="116"/>
        <v>0</v>
      </c>
      <c r="L230" s="45">
        <f aca="true" t="shared" si="118" ref="L230:L237">K230+H230+G230</f>
        <v>-4397.860000000001</v>
      </c>
      <c r="M230" s="47">
        <f t="shared" si="114"/>
        <v>-24640.06000000005</v>
      </c>
      <c r="N230" s="57">
        <v>17030.374894000044</v>
      </c>
      <c r="O230" s="81">
        <f t="shared" si="115"/>
        <v>-8141.514881000005</v>
      </c>
      <c r="P230" s="8"/>
      <c r="Q230" s="4"/>
      <c r="T230" s="2">
        <f aca="true" t="shared" si="119" ref="T230:T235">+O230-Q230</f>
        <v>-8141.514881000005</v>
      </c>
    </row>
    <row r="231" spans="1:20" ht="15.75" hidden="1">
      <c r="A231" s="86" t="s">
        <v>66</v>
      </c>
      <c r="B231" s="56">
        <v>32.099999999999994</v>
      </c>
      <c r="C231" s="47">
        <v>47391.700000000026</v>
      </c>
      <c r="D231" s="53">
        <v>-15928.899999999958</v>
      </c>
      <c r="E231" s="63">
        <v>1048.699999999999</v>
      </c>
      <c r="F231" s="48">
        <f t="shared" si="117"/>
        <v>32511.500000000065</v>
      </c>
      <c r="G231" s="51">
        <v>0</v>
      </c>
      <c r="H231" s="56">
        <v>8102.199999999997</v>
      </c>
      <c r="I231" s="49">
        <v>0</v>
      </c>
      <c r="J231" s="49">
        <v>0</v>
      </c>
      <c r="K231" s="49">
        <f aca="true" t="shared" si="120" ref="K231:K238">+I231+J231</f>
        <v>0</v>
      </c>
      <c r="L231" s="45">
        <f t="shared" si="118"/>
        <v>8102.199999999997</v>
      </c>
      <c r="M231" s="47">
        <f t="shared" si="114"/>
        <v>40613.70000000006</v>
      </c>
      <c r="N231" s="57">
        <v>30763.29233099994</v>
      </c>
      <c r="O231" s="81">
        <f t="shared" si="115"/>
        <v>71409.092331</v>
      </c>
      <c r="P231" s="8"/>
      <c r="Q231" s="4"/>
      <c r="T231" s="2">
        <f t="shared" si="119"/>
        <v>71409.092331</v>
      </c>
    </row>
    <row r="232" spans="1:20" ht="15.75" hidden="1">
      <c r="A232" s="86" t="s">
        <v>75</v>
      </c>
      <c r="B232" s="56">
        <v>1624.2</v>
      </c>
      <c r="C232" s="47">
        <v>-51013.39999999999</v>
      </c>
      <c r="D232" s="53">
        <v>2101.299999999981</v>
      </c>
      <c r="E232" s="63">
        <v>-1979.699999999999</v>
      </c>
      <c r="F232" s="48">
        <f t="shared" si="117"/>
        <v>-50891.8</v>
      </c>
      <c r="G232" s="51">
        <v>0</v>
      </c>
      <c r="H232" s="56">
        <v>-5885.300000000003</v>
      </c>
      <c r="I232" s="49">
        <v>0</v>
      </c>
      <c r="J232" s="49">
        <v>0</v>
      </c>
      <c r="K232" s="49">
        <f t="shared" si="120"/>
        <v>0</v>
      </c>
      <c r="L232" s="45">
        <f>K232+H232+G232</f>
        <v>-5885.300000000003</v>
      </c>
      <c r="M232" s="47">
        <f t="shared" si="114"/>
        <v>-56777.100000000006</v>
      </c>
      <c r="N232" s="57">
        <v>22983.152276998837</v>
      </c>
      <c r="O232" s="81">
        <f t="shared" si="115"/>
        <v>-32169.74772300117</v>
      </c>
      <c r="P232" s="8"/>
      <c r="Q232" s="4"/>
      <c r="T232" s="2">
        <f t="shared" si="119"/>
        <v>-32169.74772300117</v>
      </c>
    </row>
    <row r="233" spans="1:20" ht="15.75" hidden="1">
      <c r="A233" s="86" t="s">
        <v>76</v>
      </c>
      <c r="B233" s="56">
        <v>-135.7</v>
      </c>
      <c r="C233" s="47">
        <v>26368.899999999972</v>
      </c>
      <c r="D233" s="53">
        <v>10703.200000000004</v>
      </c>
      <c r="E233" s="63">
        <v>0</v>
      </c>
      <c r="F233" s="48">
        <f t="shared" si="117"/>
        <v>37072.09999999998</v>
      </c>
      <c r="G233" s="51">
        <v>0</v>
      </c>
      <c r="H233" s="56">
        <v>12166.300000000003</v>
      </c>
      <c r="I233" s="49">
        <v>0</v>
      </c>
      <c r="J233" s="49">
        <v>0</v>
      </c>
      <c r="K233" s="49">
        <f t="shared" si="120"/>
        <v>0</v>
      </c>
      <c r="L233" s="45">
        <f t="shared" si="118"/>
        <v>12166.300000000003</v>
      </c>
      <c r="M233" s="47">
        <f t="shared" si="114"/>
        <v>49238.39999999998</v>
      </c>
      <c r="N233" s="57">
        <v>-27495.675168998798</v>
      </c>
      <c r="O233" s="81">
        <f t="shared" si="115"/>
        <v>21607.02483100118</v>
      </c>
      <c r="P233" s="8"/>
      <c r="Q233" s="4"/>
      <c r="T233" s="2">
        <f t="shared" si="119"/>
        <v>21607.02483100118</v>
      </c>
    </row>
    <row r="234" spans="1:20" ht="15.75" hidden="1">
      <c r="A234" s="86" t="s">
        <v>77</v>
      </c>
      <c r="B234" s="56">
        <v>168.60000000000002</v>
      </c>
      <c r="C234" s="47">
        <v>16422.000000000015</v>
      </c>
      <c r="D234" s="53">
        <v>21843.79999999998</v>
      </c>
      <c r="E234" s="63">
        <v>0</v>
      </c>
      <c r="F234" s="48">
        <f t="shared" si="117"/>
        <v>38265.799999999996</v>
      </c>
      <c r="G234" s="51">
        <v>0</v>
      </c>
      <c r="H234" s="56">
        <v>2598.199999999997</v>
      </c>
      <c r="I234" s="49">
        <v>0</v>
      </c>
      <c r="J234" s="49">
        <v>0</v>
      </c>
      <c r="K234" s="49">
        <f t="shared" si="120"/>
        <v>0</v>
      </c>
      <c r="L234" s="45">
        <f t="shared" si="118"/>
        <v>2598.199999999997</v>
      </c>
      <c r="M234" s="47">
        <f t="shared" si="114"/>
        <v>40863.99999999999</v>
      </c>
      <c r="N234" s="57">
        <v>-9353.301291000003</v>
      </c>
      <c r="O234" s="81">
        <f t="shared" si="115"/>
        <v>31679.298708999988</v>
      </c>
      <c r="P234" s="8"/>
      <c r="Q234" s="4"/>
      <c r="T234" s="2">
        <f t="shared" si="119"/>
        <v>31679.298708999988</v>
      </c>
    </row>
    <row r="235" spans="1:20" ht="15.75" hidden="1">
      <c r="A235" s="86" t="s">
        <v>67</v>
      </c>
      <c r="B235" s="56">
        <v>-225.39999999999998</v>
      </c>
      <c r="C235" s="47">
        <v>59714.719417999964</v>
      </c>
      <c r="D235" s="53">
        <v>-16638.99999999997</v>
      </c>
      <c r="E235" s="63">
        <v>1514.7999999999993</v>
      </c>
      <c r="F235" s="48">
        <f t="shared" si="117"/>
        <v>44590.519417999996</v>
      </c>
      <c r="G235" s="51">
        <v>0</v>
      </c>
      <c r="H235" s="49">
        <v>0</v>
      </c>
      <c r="I235" s="49">
        <v>0</v>
      </c>
      <c r="J235" s="49">
        <v>0</v>
      </c>
      <c r="K235" s="63">
        <f t="shared" si="120"/>
        <v>0</v>
      </c>
      <c r="L235" s="63">
        <f t="shared" si="118"/>
        <v>0</v>
      </c>
      <c r="M235" s="47">
        <f t="shared" si="114"/>
        <v>44590.519417999996</v>
      </c>
      <c r="N235" s="57">
        <v>-7647.447547333337</v>
      </c>
      <c r="O235" s="81">
        <f t="shared" si="115"/>
        <v>36717.67187066666</v>
      </c>
      <c r="P235" s="8"/>
      <c r="Q235" s="4"/>
      <c r="T235" s="2">
        <f t="shared" si="119"/>
        <v>36717.67187066666</v>
      </c>
    </row>
    <row r="236" spans="1:17" ht="15.75" hidden="1">
      <c r="A236" s="86" t="s">
        <v>85</v>
      </c>
      <c r="B236" s="56">
        <v>-1090.9</v>
      </c>
      <c r="C236" s="47">
        <v>22559.68058200003</v>
      </c>
      <c r="D236" s="53">
        <v>8419.099999999984</v>
      </c>
      <c r="E236" s="63">
        <v>-1887.699999999999</v>
      </c>
      <c r="F236" s="48">
        <f t="shared" si="117"/>
        <v>29091.080582000017</v>
      </c>
      <c r="G236" s="51">
        <v>0</v>
      </c>
      <c r="H236" s="56">
        <v>5200</v>
      </c>
      <c r="I236" s="49">
        <v>0</v>
      </c>
      <c r="J236" s="49">
        <v>0</v>
      </c>
      <c r="K236" s="63">
        <f t="shared" si="120"/>
        <v>0</v>
      </c>
      <c r="L236" s="48">
        <f t="shared" si="118"/>
        <v>5200</v>
      </c>
      <c r="M236" s="47">
        <f t="shared" si="114"/>
        <v>34291.08058200002</v>
      </c>
      <c r="N236" s="57">
        <v>8793.451548333353</v>
      </c>
      <c r="O236" s="81">
        <f t="shared" si="115"/>
        <v>41993.63213033337</v>
      </c>
      <c r="P236" s="8"/>
      <c r="Q236" s="4"/>
    </row>
    <row r="237" spans="1:17" ht="15.75" hidden="1">
      <c r="A237" s="86" t="s">
        <v>86</v>
      </c>
      <c r="B237" s="56">
        <v>-1091.901097</v>
      </c>
      <c r="C237" s="47">
        <v>36345.899999999965</v>
      </c>
      <c r="D237" s="53">
        <v>5720.69999999999</v>
      </c>
      <c r="E237" s="63">
        <v>-27.899999999999636</v>
      </c>
      <c r="F237" s="48">
        <f t="shared" si="117"/>
        <v>42038.69999999995</v>
      </c>
      <c r="G237" s="51">
        <v>0</v>
      </c>
      <c r="H237" s="56">
        <v>-4485.199999999997</v>
      </c>
      <c r="I237" s="49">
        <v>0</v>
      </c>
      <c r="J237" s="49">
        <v>0</v>
      </c>
      <c r="K237" s="63">
        <f t="shared" si="120"/>
        <v>0</v>
      </c>
      <c r="L237" s="48">
        <f t="shared" si="118"/>
        <v>-4485.199999999997</v>
      </c>
      <c r="M237" s="47">
        <f t="shared" si="114"/>
        <v>37553.499999999956</v>
      </c>
      <c r="N237" s="57">
        <v>-33091.22314885497</v>
      </c>
      <c r="O237" s="81">
        <f t="shared" si="115"/>
        <v>3370.375754144983</v>
      </c>
      <c r="P237" s="8"/>
      <c r="Q237" s="4"/>
    </row>
    <row r="238" spans="1:17" ht="15.75" hidden="1">
      <c r="A238" s="86" t="s">
        <v>87</v>
      </c>
      <c r="B238" s="56">
        <v>-132</v>
      </c>
      <c r="C238" s="47">
        <v>22481.35422600001</v>
      </c>
      <c r="D238" s="53">
        <v>914.2000000000189</v>
      </c>
      <c r="E238" s="63">
        <v>2690.6000000000004</v>
      </c>
      <c r="F238" s="48">
        <f t="shared" si="117"/>
        <v>26086.154226000028</v>
      </c>
      <c r="G238" s="51">
        <v>0</v>
      </c>
      <c r="H238" s="56">
        <v>5672.100000000006</v>
      </c>
      <c r="I238" s="49">
        <v>0</v>
      </c>
      <c r="J238" s="49">
        <v>0</v>
      </c>
      <c r="K238" s="63">
        <f t="shared" si="120"/>
        <v>0</v>
      </c>
      <c r="L238" s="48">
        <f>K238+H238+G238</f>
        <v>5672.100000000006</v>
      </c>
      <c r="M238" s="47">
        <f>+F238+L238</f>
        <v>31758.254226000034</v>
      </c>
      <c r="N238" s="57">
        <v>-24605.64299224103</v>
      </c>
      <c r="O238" s="81">
        <f t="shared" si="115"/>
        <v>7020.611233759002</v>
      </c>
      <c r="P238" s="8"/>
      <c r="Q238" s="4"/>
    </row>
    <row r="239" spans="1:17" ht="15.75" hidden="1">
      <c r="A239" s="86" t="s">
        <v>88</v>
      </c>
      <c r="B239" s="56">
        <v>-781.4</v>
      </c>
      <c r="C239" s="47">
        <v>32410.200000000026</v>
      </c>
      <c r="D239" s="53">
        <v>23086.599999999973</v>
      </c>
      <c r="E239" s="63">
        <v>3218.699999999997</v>
      </c>
      <c r="F239" s="48">
        <f t="shared" si="117"/>
        <v>58715.5</v>
      </c>
      <c r="G239" s="51">
        <v>0</v>
      </c>
      <c r="H239" s="56">
        <v>5125.199999999997</v>
      </c>
      <c r="I239" s="49">
        <v>0</v>
      </c>
      <c r="J239" s="49">
        <v>0</v>
      </c>
      <c r="K239" s="63">
        <f>+I239+J239</f>
        <v>0</v>
      </c>
      <c r="L239" s="48">
        <f>K239+H239+G239</f>
        <v>5125.199999999997</v>
      </c>
      <c r="M239" s="47">
        <f>+F239+L239</f>
        <v>63840.7</v>
      </c>
      <c r="N239" s="57">
        <v>8623.48497712049</v>
      </c>
      <c r="O239" s="81">
        <f>M239+N239+B239</f>
        <v>71682.7849771205</v>
      </c>
      <c r="P239" s="8"/>
      <c r="Q239" s="4"/>
    </row>
    <row r="240" spans="1:17" ht="15.75" hidden="1">
      <c r="A240" s="86" t="s">
        <v>89</v>
      </c>
      <c r="B240" s="56">
        <v>202.8</v>
      </c>
      <c r="C240" s="47">
        <v>7081.300000000003</v>
      </c>
      <c r="D240" s="53">
        <v>27282.600000000028</v>
      </c>
      <c r="E240" s="63">
        <v>-4976.199999999999</v>
      </c>
      <c r="F240" s="48">
        <f t="shared" si="117"/>
        <v>29387.700000000033</v>
      </c>
      <c r="G240" s="51">
        <v>0</v>
      </c>
      <c r="H240" s="56">
        <v>1100</v>
      </c>
      <c r="I240" s="49">
        <v>0</v>
      </c>
      <c r="J240" s="49">
        <v>0</v>
      </c>
      <c r="K240" s="63">
        <f>+I240+J240</f>
        <v>0</v>
      </c>
      <c r="L240" s="48">
        <f>K240+H240+G240</f>
        <v>1100</v>
      </c>
      <c r="M240" s="47">
        <f>+F240+L240</f>
        <v>30487.700000000033</v>
      </c>
      <c r="N240" s="57">
        <v>1661.3222449999776</v>
      </c>
      <c r="O240" s="81">
        <f>M240+N240+B240</f>
        <v>32351.82224500001</v>
      </c>
      <c r="P240" s="8"/>
      <c r="Q240" s="4"/>
    </row>
    <row r="241" spans="1:17" ht="15.75" hidden="1">
      <c r="A241" s="86" t="s">
        <v>98</v>
      </c>
      <c r="B241" s="56">
        <v>2265.2</v>
      </c>
      <c r="C241" s="47">
        <v>43077.371799999964</v>
      </c>
      <c r="D241" s="53">
        <v>32075</v>
      </c>
      <c r="E241" s="63">
        <v>-238</v>
      </c>
      <c r="F241" s="48">
        <f t="shared" si="117"/>
        <v>74914.37179999996</v>
      </c>
      <c r="G241" s="51">
        <v>0</v>
      </c>
      <c r="H241" s="56">
        <v>4734.687187999996</v>
      </c>
      <c r="I241" s="49">
        <v>0</v>
      </c>
      <c r="J241" s="49">
        <v>0</v>
      </c>
      <c r="K241" s="63">
        <f>+I241+J241</f>
        <v>0</v>
      </c>
      <c r="L241" s="48">
        <f>K241+H241+G241</f>
        <v>4734.687187999996</v>
      </c>
      <c r="M241" s="47">
        <f>+F241+L241</f>
        <v>79649.05898799996</v>
      </c>
      <c r="N241" s="57">
        <v>-104245.09038772044</v>
      </c>
      <c r="O241" s="81">
        <f>M241+N241+B241</f>
        <v>-22330.83139972048</v>
      </c>
      <c r="P241" s="8"/>
      <c r="Q241" s="4"/>
    </row>
    <row r="242" spans="1:17" ht="15.75" hidden="1">
      <c r="A242" s="86"/>
      <c r="B242" s="56"/>
      <c r="C242" s="47"/>
      <c r="D242" s="53"/>
      <c r="E242" s="53"/>
      <c r="F242" s="48"/>
      <c r="G242" s="51"/>
      <c r="H242" s="56"/>
      <c r="I242" s="49"/>
      <c r="J242" s="49"/>
      <c r="K242" s="63"/>
      <c r="L242" s="48"/>
      <c r="M242" s="47"/>
      <c r="N242" s="57"/>
      <c r="O242" s="81"/>
      <c r="P242" s="8"/>
      <c r="Q242" s="4"/>
    </row>
    <row r="243" spans="1:17" ht="15.75">
      <c r="A243" s="86" t="s">
        <v>74</v>
      </c>
      <c r="B243" s="56">
        <v>136.64001789382007</v>
      </c>
      <c r="C243" s="47">
        <v>-11590.930657999968</v>
      </c>
      <c r="D243" s="53">
        <v>15066.399999999989</v>
      </c>
      <c r="E243" s="53">
        <v>-35.70000000000073</v>
      </c>
      <c r="F243" s="48">
        <f t="shared" si="117"/>
        <v>3439.7693420000196</v>
      </c>
      <c r="G243" s="51">
        <v>0</v>
      </c>
      <c r="H243" s="56">
        <v>9026.200000000012</v>
      </c>
      <c r="I243" s="49">
        <v>0</v>
      </c>
      <c r="J243" s="49">
        <v>0</v>
      </c>
      <c r="K243" s="49">
        <f>+I243+J243</f>
        <v>0</v>
      </c>
      <c r="L243" s="48">
        <f aca="true" t="shared" si="121" ref="L243:L253">K243+H243+G243</f>
        <v>9026.200000000012</v>
      </c>
      <c r="M243" s="47">
        <f aca="true" t="shared" si="122" ref="M243:M250">+F243+L243</f>
        <v>12465.969342000031</v>
      </c>
      <c r="N243" s="57">
        <v>-1069.5320922818337</v>
      </c>
      <c r="O243" s="81">
        <f aca="true" t="shared" si="123" ref="O243:O249">M243+N243+B243</f>
        <v>11533.077267612018</v>
      </c>
      <c r="P243" s="8"/>
      <c r="Q243" s="4"/>
    </row>
    <row r="244" spans="1:17" ht="15.75">
      <c r="A244" s="86" t="s">
        <v>66</v>
      </c>
      <c r="B244" s="56">
        <v>1692.6757258849655</v>
      </c>
      <c r="C244" s="47">
        <v>27513.59999999999</v>
      </c>
      <c r="D244" s="53">
        <v>15942.900000000027</v>
      </c>
      <c r="E244" s="53">
        <v>4588.800000000001</v>
      </c>
      <c r="F244" s="48">
        <f t="shared" si="117"/>
        <v>48045.30000000002</v>
      </c>
      <c r="G244" s="51">
        <v>0</v>
      </c>
      <c r="H244" s="56">
        <v>-2135.800000000003</v>
      </c>
      <c r="I244" s="49">
        <v>0</v>
      </c>
      <c r="J244" s="49">
        <v>0</v>
      </c>
      <c r="K244" s="49">
        <f aca="true" t="shared" si="124" ref="K244:K252">+I244+J244</f>
        <v>0</v>
      </c>
      <c r="L244" s="48">
        <f t="shared" si="121"/>
        <v>-2135.800000000003</v>
      </c>
      <c r="M244" s="47">
        <f t="shared" si="122"/>
        <v>45909.500000000015</v>
      </c>
      <c r="N244" s="57">
        <v>-33565.81030027455</v>
      </c>
      <c r="O244" s="81">
        <f t="shared" si="123"/>
        <v>14036.365425610431</v>
      </c>
      <c r="P244" s="8"/>
      <c r="Q244" s="4"/>
    </row>
    <row r="245" spans="1:17" ht="15.75">
      <c r="A245" s="86" t="s">
        <v>75</v>
      </c>
      <c r="B245" s="56">
        <v>18353.972444385865</v>
      </c>
      <c r="C245" s="47">
        <v>-14809.699999999968</v>
      </c>
      <c r="D245" s="53">
        <v>5469.899999999965</v>
      </c>
      <c r="E245" s="53">
        <v>-4772.5</v>
      </c>
      <c r="F245" s="48">
        <f t="shared" si="117"/>
        <v>-14112.300000000003</v>
      </c>
      <c r="G245" s="51">
        <v>0</v>
      </c>
      <c r="H245" s="56">
        <v>3090.0999999999913</v>
      </c>
      <c r="I245" s="49">
        <v>0</v>
      </c>
      <c r="J245" s="49">
        <v>0</v>
      </c>
      <c r="K245" s="49">
        <f t="shared" si="124"/>
        <v>0</v>
      </c>
      <c r="L245" s="48">
        <f t="shared" si="121"/>
        <v>3090.0999999999913</v>
      </c>
      <c r="M245" s="47">
        <f t="shared" si="122"/>
        <v>-11022.200000000012</v>
      </c>
      <c r="N245" s="57">
        <v>21246.62747991198</v>
      </c>
      <c r="O245" s="81">
        <f t="shared" si="123"/>
        <v>28578.39992429783</v>
      </c>
      <c r="P245" s="8"/>
      <c r="Q245" s="4"/>
    </row>
    <row r="246" spans="1:17" ht="15.75">
      <c r="A246" s="86" t="s">
        <v>76</v>
      </c>
      <c r="B246" s="56">
        <v>-469.26569325</v>
      </c>
      <c r="C246" s="47">
        <v>2349.6999999999825</v>
      </c>
      <c r="D246" s="53">
        <v>35116.50000000002</v>
      </c>
      <c r="E246" s="53">
        <v>1924.2999999999993</v>
      </c>
      <c r="F246" s="48">
        <f t="shared" si="117"/>
        <v>39390.5</v>
      </c>
      <c r="G246" s="51">
        <v>0</v>
      </c>
      <c r="H246" s="56">
        <v>-1731.7999999999884</v>
      </c>
      <c r="I246" s="49"/>
      <c r="J246" s="49">
        <v>0</v>
      </c>
      <c r="K246" s="49">
        <f t="shared" si="124"/>
        <v>0</v>
      </c>
      <c r="L246" s="48">
        <f t="shared" si="121"/>
        <v>-1731.7999999999884</v>
      </c>
      <c r="M246" s="47">
        <f t="shared" si="122"/>
        <v>37658.70000000001</v>
      </c>
      <c r="N246" s="57">
        <v>995.3382846303866</v>
      </c>
      <c r="O246" s="81">
        <f t="shared" si="123"/>
        <v>38184.772591380395</v>
      </c>
      <c r="P246" s="8"/>
      <c r="Q246" s="4"/>
    </row>
    <row r="247" spans="1:17" ht="15.75">
      <c r="A247" s="86" t="s">
        <v>77</v>
      </c>
      <c r="B247" s="56">
        <v>180.2</v>
      </c>
      <c r="C247" s="47">
        <v>18213.799999999974</v>
      </c>
      <c r="D247" s="53">
        <v>4820.399999999939</v>
      </c>
      <c r="E247" s="53">
        <v>-2964.8999999999996</v>
      </c>
      <c r="F247" s="48">
        <f t="shared" si="117"/>
        <v>20069.299999999916</v>
      </c>
      <c r="G247" s="51">
        <v>0</v>
      </c>
      <c r="H247" s="56">
        <v>13914.299999999988</v>
      </c>
      <c r="I247" s="49"/>
      <c r="J247" s="49">
        <v>0</v>
      </c>
      <c r="K247" s="49">
        <f t="shared" si="124"/>
        <v>0</v>
      </c>
      <c r="L247" s="48">
        <f t="shared" si="121"/>
        <v>13914.299999999988</v>
      </c>
      <c r="M247" s="47">
        <f t="shared" si="122"/>
        <v>33983.599999999904</v>
      </c>
      <c r="N247" s="57">
        <v>-5293.410068835525</v>
      </c>
      <c r="O247" s="81">
        <f t="shared" si="123"/>
        <v>28870.38993116438</v>
      </c>
      <c r="P247" s="8"/>
      <c r="Q247" s="4"/>
    </row>
    <row r="248" spans="1:17" ht="15.75">
      <c r="A248" s="86" t="s">
        <v>67</v>
      </c>
      <c r="B248" s="56">
        <v>1967.8999999999999</v>
      </c>
      <c r="C248" s="47">
        <v>-17151.700000000026</v>
      </c>
      <c r="D248" s="53">
        <v>19492.200000000073</v>
      </c>
      <c r="E248" s="53">
        <v>3481.8999999999996</v>
      </c>
      <c r="F248" s="48">
        <f>+C248+D248+E248</f>
        <v>5822.400000000047</v>
      </c>
      <c r="G248" s="51">
        <v>0</v>
      </c>
      <c r="H248" s="56">
        <v>-6417.899999999994</v>
      </c>
      <c r="I248" s="49"/>
      <c r="J248" s="49">
        <v>0</v>
      </c>
      <c r="K248" s="49">
        <f t="shared" si="124"/>
        <v>0</v>
      </c>
      <c r="L248" s="48">
        <f t="shared" si="121"/>
        <v>-6417.899999999994</v>
      </c>
      <c r="M248" s="47">
        <f t="shared" si="122"/>
        <v>-595.4999999999472</v>
      </c>
      <c r="N248" s="57">
        <v>3983.8431937057703</v>
      </c>
      <c r="O248" s="81">
        <f t="shared" si="123"/>
        <v>5356.243193705823</v>
      </c>
      <c r="P248" s="8"/>
      <c r="Q248" s="4"/>
    </row>
    <row r="249" spans="1:17" ht="15.75">
      <c r="A249" s="86" t="s">
        <v>68</v>
      </c>
      <c r="B249" s="56">
        <v>-861.827419904319</v>
      </c>
      <c r="C249" s="47">
        <v>7027.400000000067</v>
      </c>
      <c r="D249" s="53">
        <v>11557.499999999978</v>
      </c>
      <c r="E249" s="63">
        <v>742.5</v>
      </c>
      <c r="F249" s="48">
        <f t="shared" si="117"/>
        <v>19327.400000000045</v>
      </c>
      <c r="G249" s="51">
        <v>0</v>
      </c>
      <c r="H249" s="56">
        <v>982.1999999999971</v>
      </c>
      <c r="I249" s="49"/>
      <c r="J249" s="49">
        <v>0</v>
      </c>
      <c r="K249" s="49">
        <f t="shared" si="124"/>
        <v>0</v>
      </c>
      <c r="L249" s="48">
        <f t="shared" si="121"/>
        <v>982.1999999999971</v>
      </c>
      <c r="M249" s="47">
        <f t="shared" si="122"/>
        <v>20309.600000000042</v>
      </c>
      <c r="N249" s="57">
        <v>-1631.829925518421</v>
      </c>
      <c r="O249" s="81">
        <f t="shared" si="123"/>
        <v>17815.942654577302</v>
      </c>
      <c r="P249" s="8"/>
      <c r="Q249" s="4"/>
    </row>
    <row r="250" spans="1:17" ht="15.75">
      <c r="A250" s="86" t="s">
        <v>69</v>
      </c>
      <c r="B250" s="56">
        <v>171.52416842972514</v>
      </c>
      <c r="C250" s="47">
        <v>531.6826429999801</v>
      </c>
      <c r="D250" s="53">
        <v>5351.599999999975</v>
      </c>
      <c r="E250" s="63">
        <v>-1251.6000000000004</v>
      </c>
      <c r="F250" s="48">
        <f t="shared" si="117"/>
        <v>4631.682642999955</v>
      </c>
      <c r="G250" s="51">
        <v>0</v>
      </c>
      <c r="H250" s="56">
        <v>11368.900000000009</v>
      </c>
      <c r="I250" s="49"/>
      <c r="J250" s="49">
        <v>0</v>
      </c>
      <c r="K250" s="49">
        <f t="shared" si="124"/>
        <v>0</v>
      </c>
      <c r="L250" s="48">
        <f t="shared" si="121"/>
        <v>11368.900000000009</v>
      </c>
      <c r="M250" s="47">
        <f t="shared" si="122"/>
        <v>16000.582642999963</v>
      </c>
      <c r="N250" s="57">
        <v>-2893.7656882896754</v>
      </c>
      <c r="O250" s="81">
        <f>M250+N250+B250</f>
        <v>13278.341123140013</v>
      </c>
      <c r="P250" s="8"/>
      <c r="Q250" s="4"/>
    </row>
    <row r="251" spans="1:17" ht="15.75">
      <c r="A251" s="86" t="s">
        <v>26</v>
      </c>
      <c r="B251" s="56">
        <v>-1541.507120838356</v>
      </c>
      <c r="C251" s="47">
        <v>1232.5173570000006</v>
      </c>
      <c r="D251" s="53">
        <v>18346.600000000057</v>
      </c>
      <c r="E251" s="63">
        <v>-1035.3999999999996</v>
      </c>
      <c r="F251" s="48">
        <f t="shared" si="117"/>
        <v>18543.71735700006</v>
      </c>
      <c r="G251" s="51">
        <v>0</v>
      </c>
      <c r="H251" s="56">
        <v>-1853.2000000000116</v>
      </c>
      <c r="I251" s="49"/>
      <c r="J251" s="49">
        <v>0</v>
      </c>
      <c r="K251" s="49">
        <f t="shared" si="124"/>
        <v>0</v>
      </c>
      <c r="L251" s="48">
        <f t="shared" si="121"/>
        <v>-1853.2000000000116</v>
      </c>
      <c r="M251" s="47">
        <f>+F251+L251</f>
        <v>16690.517357000048</v>
      </c>
      <c r="N251" s="57">
        <v>11862.994851981664</v>
      </c>
      <c r="O251" s="81">
        <f>M251+N251+B251</f>
        <v>27012.005088143356</v>
      </c>
      <c r="P251" s="8"/>
      <c r="Q251" s="4"/>
    </row>
    <row r="252" spans="1:17" ht="15.75">
      <c r="A252" s="86" t="s">
        <v>71</v>
      </c>
      <c r="B252" s="56">
        <v>-1825.25362498586</v>
      </c>
      <c r="C252" s="47">
        <v>12684.599999999951</v>
      </c>
      <c r="D252" s="53">
        <v>4918.700000000004</v>
      </c>
      <c r="E252" s="63">
        <v>0</v>
      </c>
      <c r="F252" s="48">
        <f t="shared" si="117"/>
        <v>17603.299999999956</v>
      </c>
      <c r="G252" s="51">
        <v>0</v>
      </c>
      <c r="H252" s="56">
        <v>8225.540000000008</v>
      </c>
      <c r="I252" s="49"/>
      <c r="J252" s="49">
        <v>0</v>
      </c>
      <c r="K252" s="49">
        <f t="shared" si="124"/>
        <v>0</v>
      </c>
      <c r="L252" s="48">
        <f t="shared" si="121"/>
        <v>8225.540000000008</v>
      </c>
      <c r="M252" s="47">
        <f>+F252+L252</f>
        <v>25828.839999999964</v>
      </c>
      <c r="N252" s="57">
        <v>18460.83905131924</v>
      </c>
      <c r="O252" s="81">
        <f>M252+N252+B252</f>
        <v>42464.42542633334</v>
      </c>
      <c r="P252" s="8"/>
      <c r="Q252" s="4"/>
    </row>
    <row r="253" spans="1:17" ht="15.75">
      <c r="A253" s="86" t="s">
        <v>72</v>
      </c>
      <c r="B253" s="56">
        <v>112.4</v>
      </c>
      <c r="C253" s="47">
        <v>24134.900000000045</v>
      </c>
      <c r="D253" s="53">
        <v>11352.599999999973</v>
      </c>
      <c r="E253" s="63">
        <v>0</v>
      </c>
      <c r="F253" s="48">
        <f>+C253+D253+E253</f>
        <v>35487.500000000015</v>
      </c>
      <c r="G253" s="51">
        <v>0</v>
      </c>
      <c r="H253" s="56">
        <v>2192.6600000000035</v>
      </c>
      <c r="I253" s="49"/>
      <c r="J253" s="49">
        <v>0</v>
      </c>
      <c r="K253" s="49">
        <f>+I253+J253</f>
        <v>0</v>
      </c>
      <c r="L253" s="48">
        <f t="shared" si="121"/>
        <v>2192.6600000000035</v>
      </c>
      <c r="M253" s="47">
        <f>+F253+L253</f>
        <v>37680.16000000002</v>
      </c>
      <c r="N253" s="57">
        <v>-7765.039335180387</v>
      </c>
      <c r="O253" s="81">
        <f>M253+N253+B253</f>
        <v>30027.520664819633</v>
      </c>
      <c r="P253" s="8"/>
      <c r="Q253" s="4"/>
    </row>
    <row r="254" spans="1:17" ht="15.75">
      <c r="A254" s="86" t="s">
        <v>73</v>
      </c>
      <c r="B254" s="62">
        <v>0</v>
      </c>
      <c r="C254" s="47">
        <v>14483.100000000006</v>
      </c>
      <c r="D254" s="53">
        <v>20670.69999999998</v>
      </c>
      <c r="E254" s="63">
        <v>0</v>
      </c>
      <c r="F254" s="48">
        <f>+C254+D254+E254</f>
        <v>35153.79999999999</v>
      </c>
      <c r="G254" s="51">
        <v>0</v>
      </c>
      <c r="H254" s="56">
        <v>-800.3999999999942</v>
      </c>
      <c r="I254" s="49"/>
      <c r="J254" s="49">
        <v>0</v>
      </c>
      <c r="K254" s="49">
        <f>+I254+J254</f>
        <v>0</v>
      </c>
      <c r="L254" s="48">
        <f>K254+H254+G254</f>
        <v>-800.3999999999942</v>
      </c>
      <c r="M254" s="47">
        <f>+F254+L254</f>
        <v>34353.399999999994</v>
      </c>
      <c r="N254" s="57">
        <v>-4548.68771200825</v>
      </c>
      <c r="O254" s="81">
        <f>M254+N254+B254</f>
        <v>29804.712287991744</v>
      </c>
      <c r="P254" s="8"/>
      <c r="Q254" s="4"/>
    </row>
    <row r="255" spans="1:17" ht="15.75">
      <c r="A255" s="86"/>
      <c r="B255" s="62"/>
      <c r="C255" s="47"/>
      <c r="D255" s="53"/>
      <c r="E255" s="63"/>
      <c r="F255" s="48"/>
      <c r="G255" s="51"/>
      <c r="H255" s="56"/>
      <c r="I255" s="49"/>
      <c r="J255" s="49"/>
      <c r="K255" s="49"/>
      <c r="L255" s="48"/>
      <c r="M255" s="47"/>
      <c r="N255" s="57"/>
      <c r="O255" s="81"/>
      <c r="P255" s="8"/>
      <c r="Q255" s="4"/>
    </row>
    <row r="256" spans="1:17" ht="15.75">
      <c r="A256" s="86" t="s">
        <v>80</v>
      </c>
      <c r="B256" s="62">
        <v>111.9999901943271</v>
      </c>
      <c r="C256" s="47">
        <v>-18654.10000000002</v>
      </c>
      <c r="D256" s="53">
        <v>24336.09999999988</v>
      </c>
      <c r="E256" s="53">
        <v>-690.1999999999989</v>
      </c>
      <c r="F256" s="48">
        <f aca="true" t="shared" si="125" ref="F256:F262">+C256+D256+E256</f>
        <v>4991.799999999859</v>
      </c>
      <c r="G256" s="51">
        <v>0</v>
      </c>
      <c r="H256" s="56">
        <v>2478.1999999999825</v>
      </c>
      <c r="I256" s="49"/>
      <c r="J256" s="49">
        <v>0</v>
      </c>
      <c r="K256" s="49">
        <f aca="true" t="shared" si="126" ref="K256:K261">+I256+J256</f>
        <v>0</v>
      </c>
      <c r="L256" s="48">
        <f aca="true" t="shared" si="127" ref="L256:L261">K256+H256+G256</f>
        <v>2478.1999999999825</v>
      </c>
      <c r="M256" s="47">
        <f aca="true" t="shared" si="128" ref="M256:M261">+F256+L256</f>
        <v>7469.999999999842</v>
      </c>
      <c r="N256" s="57">
        <v>-3089.2113639998415</v>
      </c>
      <c r="O256" s="81">
        <f aca="true" t="shared" si="129" ref="O256:O264">M256+N256+B256</f>
        <v>4492.788626194328</v>
      </c>
      <c r="P256" s="8"/>
      <c r="Q256" s="4"/>
    </row>
    <row r="257" spans="1:17" ht="15.75">
      <c r="A257" s="86" t="s">
        <v>66</v>
      </c>
      <c r="B257" s="62">
        <v>1481.1989101478157</v>
      </c>
      <c r="C257" s="47">
        <v>-23582.39999999995</v>
      </c>
      <c r="D257" s="53">
        <v>35777.40000000002</v>
      </c>
      <c r="E257" s="53">
        <v>1706</v>
      </c>
      <c r="F257" s="48">
        <f t="shared" si="125"/>
        <v>13901.000000000073</v>
      </c>
      <c r="G257" s="51">
        <v>0</v>
      </c>
      <c r="H257" s="56">
        <v>1450.1000000000058</v>
      </c>
      <c r="I257" s="49"/>
      <c r="J257" s="49">
        <v>0</v>
      </c>
      <c r="K257" s="49">
        <f t="shared" si="126"/>
        <v>0</v>
      </c>
      <c r="L257" s="48">
        <f t="shared" si="127"/>
        <v>1450.1000000000058</v>
      </c>
      <c r="M257" s="47">
        <f t="shared" si="128"/>
        <v>15351.100000000079</v>
      </c>
      <c r="N257" s="57">
        <v>5278.773384999931</v>
      </c>
      <c r="O257" s="81">
        <f t="shared" si="129"/>
        <v>22111.072295147824</v>
      </c>
      <c r="P257" s="8"/>
      <c r="Q257" s="4"/>
    </row>
    <row r="258" spans="1:17" ht="15.75">
      <c r="A258" s="86" t="s">
        <v>75</v>
      </c>
      <c r="B258" s="108">
        <v>-1167.77279012233</v>
      </c>
      <c r="C258" s="47">
        <v>45302.49999999997</v>
      </c>
      <c r="D258" s="53">
        <v>-471.3000000000902</v>
      </c>
      <c r="E258" s="53">
        <v>5345.199999999999</v>
      </c>
      <c r="F258" s="48">
        <f t="shared" si="125"/>
        <v>50176.39999999988</v>
      </c>
      <c r="G258" s="51">
        <v>0</v>
      </c>
      <c r="H258" s="56">
        <v>2396.1699999999837</v>
      </c>
      <c r="I258" s="49"/>
      <c r="J258" s="49">
        <v>0</v>
      </c>
      <c r="K258" s="49">
        <f t="shared" si="126"/>
        <v>0</v>
      </c>
      <c r="L258" s="48">
        <f t="shared" si="127"/>
        <v>2396.1699999999837</v>
      </c>
      <c r="M258" s="47">
        <f t="shared" si="128"/>
        <v>52572.56999999986</v>
      </c>
      <c r="N258" s="57">
        <v>-50675.79536899986</v>
      </c>
      <c r="O258" s="81">
        <f t="shared" si="129"/>
        <v>729.0018408776702</v>
      </c>
      <c r="P258" s="8"/>
      <c r="Q258" s="4"/>
    </row>
    <row r="259" spans="1:17" ht="15.75">
      <c r="A259" s="86" t="s">
        <v>76</v>
      </c>
      <c r="B259" s="108">
        <v>-1573.13467561425</v>
      </c>
      <c r="C259" s="47">
        <v>-18644.699999999997</v>
      </c>
      <c r="D259" s="53">
        <v>32941.10000000006</v>
      </c>
      <c r="E259" s="53">
        <v>-3959.399999999998</v>
      </c>
      <c r="F259" s="48">
        <f t="shared" si="125"/>
        <v>10337.000000000062</v>
      </c>
      <c r="G259" s="51">
        <v>0</v>
      </c>
      <c r="H259" s="56">
        <v>-2721.9199999999837</v>
      </c>
      <c r="I259" s="49"/>
      <c r="J259" s="49">
        <v>0</v>
      </c>
      <c r="K259" s="49">
        <f t="shared" si="126"/>
        <v>0</v>
      </c>
      <c r="L259" s="49">
        <f t="shared" si="127"/>
        <v>-2721.9199999999837</v>
      </c>
      <c r="M259" s="47">
        <f t="shared" si="128"/>
        <v>7615.080000000078</v>
      </c>
      <c r="N259" s="57">
        <v>31146.4647795196</v>
      </c>
      <c r="O259" s="81">
        <f t="shared" si="129"/>
        <v>37188.41010390543</v>
      </c>
      <c r="P259" s="8"/>
      <c r="Q259" s="4"/>
    </row>
    <row r="260" spans="1:17" ht="15.75">
      <c r="A260" s="86" t="s">
        <v>77</v>
      </c>
      <c r="B260" s="108">
        <v>-44.05752756</v>
      </c>
      <c r="C260" s="47">
        <v>-32756.599999999977</v>
      </c>
      <c r="D260" s="53">
        <v>14408.7</v>
      </c>
      <c r="E260" s="53">
        <v>1283.5999999999985</v>
      </c>
      <c r="F260" s="48">
        <f t="shared" si="125"/>
        <v>-17064.299999999977</v>
      </c>
      <c r="G260" s="51">
        <v>0</v>
      </c>
      <c r="H260" s="56">
        <v>-1900.3699999999953</v>
      </c>
      <c r="I260" s="49"/>
      <c r="J260" s="49">
        <v>0</v>
      </c>
      <c r="K260" s="49">
        <f t="shared" si="126"/>
        <v>0</v>
      </c>
      <c r="L260" s="49">
        <f t="shared" si="127"/>
        <v>-1900.3699999999953</v>
      </c>
      <c r="M260" s="47">
        <f t="shared" si="128"/>
        <v>-18964.669999999973</v>
      </c>
      <c r="N260" s="57">
        <v>42831.60222451923</v>
      </c>
      <c r="O260" s="81">
        <f t="shared" si="129"/>
        <v>23822.874696959258</v>
      </c>
      <c r="P260" s="8"/>
      <c r="Q260" s="4"/>
    </row>
    <row r="261" spans="1:17" ht="15.75">
      <c r="A261" s="86" t="s">
        <v>67</v>
      </c>
      <c r="B261" s="108">
        <v>2451.1262668128625</v>
      </c>
      <c r="C261" s="47">
        <v>39684.40000000004</v>
      </c>
      <c r="D261" s="53">
        <v>3412.100000000013</v>
      </c>
      <c r="E261" s="53">
        <v>-1169.2999999999993</v>
      </c>
      <c r="F261" s="48">
        <f t="shared" si="125"/>
        <v>41927.200000000055</v>
      </c>
      <c r="G261" s="51">
        <v>0</v>
      </c>
      <c r="H261" s="56">
        <v>7559.619999999995</v>
      </c>
      <c r="I261" s="49"/>
      <c r="J261" s="49">
        <v>0</v>
      </c>
      <c r="K261" s="49">
        <f t="shared" si="126"/>
        <v>0</v>
      </c>
      <c r="L261" s="49">
        <f t="shared" si="127"/>
        <v>7559.619999999995</v>
      </c>
      <c r="M261" s="47">
        <f t="shared" si="128"/>
        <v>49486.82000000005</v>
      </c>
      <c r="N261" s="57">
        <v>-48028.76107805873</v>
      </c>
      <c r="O261" s="81">
        <f t="shared" si="129"/>
        <v>3909.1851887541857</v>
      </c>
      <c r="P261" s="8"/>
      <c r="Q261" s="4"/>
    </row>
    <row r="262" spans="1:17" ht="15.75">
      <c r="A262" s="86" t="s">
        <v>68</v>
      </c>
      <c r="B262" s="108">
        <v>-1367.9418099987</v>
      </c>
      <c r="C262" s="47">
        <v>4124.100000000006</v>
      </c>
      <c r="D262" s="53">
        <v>3264.6999999999643</v>
      </c>
      <c r="E262" s="63">
        <v>273.8999999999978</v>
      </c>
      <c r="F262" s="48">
        <f t="shared" si="125"/>
        <v>7662.699999999968</v>
      </c>
      <c r="G262" s="51">
        <v>0</v>
      </c>
      <c r="H262" s="56">
        <v>3892.29999999999</v>
      </c>
      <c r="I262" s="49"/>
      <c r="J262" s="49">
        <v>0</v>
      </c>
      <c r="K262" s="49">
        <f aca="true" t="shared" si="130" ref="K262:K267">+I262+J262</f>
        <v>0</v>
      </c>
      <c r="L262" s="49">
        <f aca="true" t="shared" si="131" ref="L262:L267">K262+H262+G262</f>
        <v>3892.29999999999</v>
      </c>
      <c r="M262" s="47">
        <f aca="true" t="shared" si="132" ref="M262:M269">+F262+L262</f>
        <v>11554.999999999958</v>
      </c>
      <c r="N262" s="57">
        <v>-1107.230565333295</v>
      </c>
      <c r="O262" s="81">
        <f t="shared" si="129"/>
        <v>9079.827624667963</v>
      </c>
      <c r="P262" s="8"/>
      <c r="Q262" s="4"/>
    </row>
    <row r="263" spans="1:17" ht="15.75">
      <c r="A263" s="86" t="s">
        <v>69</v>
      </c>
      <c r="B263" s="108">
        <v>2091.4713506644653</v>
      </c>
      <c r="C263" s="47">
        <v>9766.799999999952</v>
      </c>
      <c r="D263" s="53">
        <v>14893.999999999956</v>
      </c>
      <c r="E263" s="63">
        <v>3223.100000000002</v>
      </c>
      <c r="F263" s="48">
        <f>+C263+D263+E263</f>
        <v>27883.89999999991</v>
      </c>
      <c r="G263" s="51">
        <v>0</v>
      </c>
      <c r="H263" s="56">
        <v>15650.4</v>
      </c>
      <c r="I263" s="49"/>
      <c r="J263" s="49">
        <v>0</v>
      </c>
      <c r="K263" s="49">
        <f t="shared" si="130"/>
        <v>0</v>
      </c>
      <c r="L263" s="49">
        <f t="shared" si="131"/>
        <v>15650.4</v>
      </c>
      <c r="M263" s="47">
        <f t="shared" si="132"/>
        <v>43534.29999999991</v>
      </c>
      <c r="N263" s="57">
        <v>-10622.205576577655</v>
      </c>
      <c r="O263" s="81">
        <f t="shared" si="129"/>
        <v>35003.56577408672</v>
      </c>
      <c r="P263" s="8"/>
      <c r="Q263" s="4"/>
    </row>
    <row r="264" spans="1:17" ht="15.75">
      <c r="A264" s="86" t="s">
        <v>26</v>
      </c>
      <c r="B264" s="108">
        <v>-913.04348800048</v>
      </c>
      <c r="C264" s="47">
        <v>-18066.300000000003</v>
      </c>
      <c r="D264" s="53">
        <v>17482.100000000126</v>
      </c>
      <c r="E264" s="63">
        <v>-689.6000000000022</v>
      </c>
      <c r="F264" s="48">
        <f>+C264+D264+E264</f>
        <v>-1273.7999999998792</v>
      </c>
      <c r="G264" s="51">
        <v>0</v>
      </c>
      <c r="H264" s="56">
        <v>5070.473715999979</v>
      </c>
      <c r="I264" s="49"/>
      <c r="J264" s="49">
        <v>0</v>
      </c>
      <c r="K264" s="49">
        <f t="shared" si="130"/>
        <v>0</v>
      </c>
      <c r="L264" s="49">
        <f t="shared" si="131"/>
        <v>5070.473715999979</v>
      </c>
      <c r="M264" s="47">
        <f t="shared" si="132"/>
        <v>3796.6737160000994</v>
      </c>
      <c r="N264" s="57">
        <v>1079.50130422636</v>
      </c>
      <c r="O264" s="81">
        <f t="shared" si="129"/>
        <v>3963.1315322259793</v>
      </c>
      <c r="P264" s="8"/>
      <c r="Q264" s="4"/>
    </row>
    <row r="265" spans="1:17" ht="15.75">
      <c r="A265" s="86" t="s">
        <v>71</v>
      </c>
      <c r="B265" s="108">
        <v>-770.4934569796796</v>
      </c>
      <c r="C265" s="47">
        <v>3503.50000000008</v>
      </c>
      <c r="D265" s="53">
        <v>-531.5000000000509</v>
      </c>
      <c r="E265" s="63">
        <v>-4128.699999999999</v>
      </c>
      <c r="F265" s="48">
        <f>+C265+D265+E265</f>
        <v>-1156.6999999999698</v>
      </c>
      <c r="G265" s="51">
        <v>0</v>
      </c>
      <c r="H265" s="56">
        <v>4323.190150000039</v>
      </c>
      <c r="I265" s="49"/>
      <c r="J265" s="49">
        <v>0</v>
      </c>
      <c r="K265" s="49">
        <f t="shared" si="130"/>
        <v>0</v>
      </c>
      <c r="L265" s="49">
        <f t="shared" si="131"/>
        <v>4323.190150000039</v>
      </c>
      <c r="M265" s="47">
        <f t="shared" si="132"/>
        <v>3166.4901500000688</v>
      </c>
      <c r="N265" s="57">
        <v>42272.63619293128</v>
      </c>
      <c r="O265" s="81">
        <f>M265+N265+B265</f>
        <v>44668.632885951665</v>
      </c>
      <c r="P265" s="8"/>
      <c r="Q265" s="4"/>
    </row>
    <row r="266" spans="1:17" ht="15.75">
      <c r="A266" s="86" t="s">
        <v>72</v>
      </c>
      <c r="B266" s="108">
        <v>-2125.2692134622607</v>
      </c>
      <c r="C266" s="47">
        <v>-8330.900000000023</v>
      </c>
      <c r="D266" s="53">
        <v>18121.89999999998</v>
      </c>
      <c r="E266" s="63">
        <v>-1911.6000000000004</v>
      </c>
      <c r="F266" s="48">
        <f>+C266+D266+E266</f>
        <v>7879.399999999956</v>
      </c>
      <c r="G266" s="51">
        <v>0</v>
      </c>
      <c r="H266" s="56">
        <v>-6801.763866000023</v>
      </c>
      <c r="I266" s="49"/>
      <c r="J266" s="49">
        <v>0</v>
      </c>
      <c r="K266" s="49">
        <f t="shared" si="130"/>
        <v>0</v>
      </c>
      <c r="L266" s="49">
        <f t="shared" si="131"/>
        <v>-6801.763866000023</v>
      </c>
      <c r="M266" s="47">
        <f t="shared" si="132"/>
        <v>1077.636133999933</v>
      </c>
      <c r="N266" s="57">
        <v>3218.584447000094</v>
      </c>
      <c r="O266" s="81">
        <f>M266+N266+B266</f>
        <v>2170.951367537766</v>
      </c>
      <c r="P266" s="8"/>
      <c r="Q266" s="4"/>
    </row>
    <row r="267" spans="1:17" ht="15.75">
      <c r="A267" s="86" t="s">
        <v>73</v>
      </c>
      <c r="B267" s="108">
        <v>0</v>
      </c>
      <c r="C267" s="47">
        <v>26154.199999999903</v>
      </c>
      <c r="D267" s="53">
        <v>55583.6</v>
      </c>
      <c r="E267" s="63">
        <v>1779.800000000001</v>
      </c>
      <c r="F267" s="48">
        <f>+C267+D267+E267</f>
        <v>83517.5999999999</v>
      </c>
      <c r="G267" s="51">
        <v>0</v>
      </c>
      <c r="H267" s="56">
        <v>8211.199999999983</v>
      </c>
      <c r="I267" s="49"/>
      <c r="J267" s="49">
        <v>0</v>
      </c>
      <c r="K267" s="49">
        <f t="shared" si="130"/>
        <v>0</v>
      </c>
      <c r="L267" s="49">
        <f t="shared" si="131"/>
        <v>8211.199999999983</v>
      </c>
      <c r="M267" s="47">
        <f t="shared" si="132"/>
        <v>91728.79999999989</v>
      </c>
      <c r="N267" s="57">
        <v>-36570.65468659407</v>
      </c>
      <c r="O267" s="81">
        <f>M267+N267+B267</f>
        <v>55158.14531340582</v>
      </c>
      <c r="P267" s="8"/>
      <c r="Q267" s="4"/>
    </row>
    <row r="268" spans="1:17" ht="15.75">
      <c r="A268" s="86"/>
      <c r="B268" s="108"/>
      <c r="C268" s="47"/>
      <c r="D268" s="53"/>
      <c r="E268" s="63"/>
      <c r="F268" s="48"/>
      <c r="G268" s="51"/>
      <c r="H268" s="56"/>
      <c r="I268" s="49"/>
      <c r="J268" s="49"/>
      <c r="K268" s="49"/>
      <c r="L268" s="49"/>
      <c r="M268" s="47"/>
      <c r="N268" s="57"/>
      <c r="O268" s="81"/>
      <c r="P268" s="8"/>
      <c r="Q268" s="4"/>
    </row>
    <row r="269" spans="1:17" ht="15.75">
      <c r="A269" s="86" t="s">
        <v>100</v>
      </c>
      <c r="B269" s="108">
        <v>66.82556262754</v>
      </c>
      <c r="C269" s="47">
        <v>-32961.299999999916</v>
      </c>
      <c r="D269" s="53">
        <v>22446.700000000044</v>
      </c>
      <c r="E269" s="63">
        <v>0</v>
      </c>
      <c r="F269" s="48">
        <f>+C269+D269+E269</f>
        <v>-10514.599999999871</v>
      </c>
      <c r="G269" s="51">
        <v>0</v>
      </c>
      <c r="H269" s="56">
        <v>-8464</v>
      </c>
      <c r="I269" s="49"/>
      <c r="J269" s="49">
        <v>0</v>
      </c>
      <c r="K269" s="49">
        <f>+I269+J269</f>
        <v>0</v>
      </c>
      <c r="L269" s="49">
        <f>K269+H269+G269</f>
        <v>-8464</v>
      </c>
      <c r="M269" s="47">
        <f t="shared" si="132"/>
        <v>-18978.59999999987</v>
      </c>
      <c r="N269" s="57">
        <v>18813.82384899987</v>
      </c>
      <c r="O269" s="81">
        <f>M269+N269+B269</f>
        <v>-97.95058837246185</v>
      </c>
      <c r="P269" s="8"/>
      <c r="Q269" s="4"/>
    </row>
    <row r="270" spans="1:15" ht="15.75">
      <c r="A270" s="87"/>
      <c r="B270" s="64"/>
      <c r="C270" s="64"/>
      <c r="D270" s="64"/>
      <c r="E270" s="65"/>
      <c r="F270" s="102"/>
      <c r="G270" s="65"/>
      <c r="H270" s="64"/>
      <c r="I270" s="64"/>
      <c r="J270" s="64"/>
      <c r="K270" s="66"/>
      <c r="L270" s="66"/>
      <c r="M270" s="101"/>
      <c r="N270" s="67"/>
      <c r="O270" s="88"/>
    </row>
    <row r="271" spans="1:15" ht="18.75" hidden="1">
      <c r="A271" s="89"/>
      <c r="B271" s="10"/>
      <c r="C271" s="10"/>
      <c r="D271" s="10"/>
      <c r="E271" s="10"/>
      <c r="F271" s="10"/>
      <c r="G271" s="10"/>
      <c r="H271" s="10"/>
      <c r="I271" s="10"/>
      <c r="J271" s="10"/>
      <c r="K271" s="11"/>
      <c r="L271" s="11"/>
      <c r="M271" s="10"/>
      <c r="N271" s="12"/>
      <c r="O271" s="90"/>
    </row>
    <row r="272" spans="1:16" ht="18.75">
      <c r="A272" s="107" t="s">
        <v>78</v>
      </c>
      <c r="B272" s="14"/>
      <c r="C272" s="14"/>
      <c r="D272" s="14"/>
      <c r="E272" s="14"/>
      <c r="F272" s="14"/>
      <c r="G272" s="13"/>
      <c r="H272" s="13"/>
      <c r="I272" s="13"/>
      <c r="J272" s="13"/>
      <c r="K272" s="13"/>
      <c r="L272" s="13"/>
      <c r="M272" s="13"/>
      <c r="N272" s="13"/>
      <c r="O272" s="91"/>
      <c r="P272" s="4"/>
    </row>
    <row r="273" spans="1:15" ht="19.5" thickBot="1">
      <c r="A273" s="92"/>
      <c r="B273" s="93"/>
      <c r="C273" s="93"/>
      <c r="D273" s="93"/>
      <c r="E273" s="93"/>
      <c r="F273" s="93"/>
      <c r="G273" s="94"/>
      <c r="H273" s="94"/>
      <c r="I273" s="94"/>
      <c r="J273" s="94"/>
      <c r="K273" s="94"/>
      <c r="L273" s="94"/>
      <c r="M273" s="94"/>
      <c r="N273" s="94"/>
      <c r="O273" s="95"/>
    </row>
    <row r="275" ht="15.75">
      <c r="N275" s="6"/>
    </row>
    <row r="276" ht="18">
      <c r="D276" s="9"/>
    </row>
    <row r="279" ht="15.75">
      <c r="N279" s="6"/>
    </row>
  </sheetData>
  <sheetProtection/>
  <mergeCells count="4">
    <mergeCell ref="A3:O3"/>
    <mergeCell ref="A4:O4"/>
    <mergeCell ref="C10:F10"/>
    <mergeCell ref="G10:K10"/>
  </mergeCells>
  <printOptions horizontalCentered="1" verticalCentered="1"/>
  <pageMargins left="0.5118110236220472" right="0.5118110236220472" top="1.1811023622047245" bottom="0.7874015748031497" header="1.220472440944882" footer="0.7874015748031497"/>
  <pageSetup horizontalDpi="360" verticalDpi="36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2018-02-22T13:17:06Z</cp:lastPrinted>
  <dcterms:created xsi:type="dcterms:W3CDTF">2000-08-14T07:39:42Z</dcterms:created>
  <dcterms:modified xsi:type="dcterms:W3CDTF">2018-04-10T14:14:38Z</dcterms:modified>
  <cp:category/>
  <cp:version/>
  <cp:contentType/>
  <cp:contentStatus/>
</cp:coreProperties>
</file>