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_xlnm.Print_Area" localSheetId="0">'A'!$A$4:$IE$87</definedName>
    <definedName name="R">'A'!#REF!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<sst xmlns="http://schemas.openxmlformats.org/spreadsheetml/2006/main" count="1111" uniqueCount="139">
  <si>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</si>
  <si>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</si>
  <si>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</si>
  <si>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</si>
  <si>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</si>
  <si>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</si>
  <si>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</si>
  <si>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</si>
  <si>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</si>
  <si>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</si>
  <si>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</si>
  <si>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</si>
  <si>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</si>
  <si>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</si>
  <si>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</si>
  <si>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</si>
  <si>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</si>
  <si>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</si>
  <si>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</si>
  <si>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</si>
  <si>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</si>
  <si>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</si>
  <si>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</si>
  <si>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</si>
  <si>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</si>
  <si>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</si>
  <si>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</si>
  <si>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</si>
  <si>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</si>
  <si>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</si>
  <si>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</si>
  <si>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</si>
  <si>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</si>
  <si>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</si>
  <si>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</si>
  <si>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</si>
  <si>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</si>
  <si>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</si>
  <si>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</si>
  <si>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</si>
  <si>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</si>
  <si>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</si>
  <si>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</si>
  <si>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</si>
  <si>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</si>
  <si>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</si>
  <si>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</si>
  <si>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</si>
  <si>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</si>
  <si>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</si>
  <si>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</si>
  <si>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</si>
  <si>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</si>
  <si>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</si>
  <si>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</si>
  <si>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</si>
  <si>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</si>
  <si>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</si>
  <si>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</si>
  <si>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</si>
  <si>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</si>
  <si>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</si>
  <si>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</si>
  <si>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</si>
  <si>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</si>
  <si>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</si>
  <si>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</si>
  <si>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</si>
  <si>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</si>
  <si>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</si>
  <si>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</si>
  <si>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</si>
  <si>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</si>
  <si>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</si>
  <si>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</si>
  <si>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</si>
  <si>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</si>
  <si>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</si>
  <si>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</si>
  <si>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</si>
  <si>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</si>
  <si>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</si>
  <si>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</si>
  <si>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</si>
  <si>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</si>
  <si>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</si>
  <si>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</si>
  <si>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</si>
  <si>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</si>
  <si>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</si>
  <si>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</si>
  <si>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</si>
  <si>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</si>
  <si>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</si>
  <si>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</si>
  <si>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</si>
  <si>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</si>
  <si>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</si>
  <si>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</si>
  <si>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</si>
  <si>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</si>
  <si>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</si>
  <si>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</si>
  <si>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</si>
  <si>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</si>
  <si>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</si>
  <si>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</si>
  <si>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</si>
  <si>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</si>
  <si>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</si>
  <si>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</si>
  <si>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</si>
  <si>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</si>
  <si>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</si>
  <si>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</si>
  <si>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</si>
  <si>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</si>
  <si>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</si>
  <si>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</si>
  <si>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</si>
  <si>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</si>
  <si>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</si>
  <si>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</si>
  <si>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</si>
  <si>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</si>
  <si>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</si>
  <si>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</si>
  <si>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</si>
  <si>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</si>
  <si>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</si>
  <si>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</si>
  <si>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</si>
  <si>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</si>
  <si>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</si>
  <si>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 xml:space="preserve"> (en T) </t>
  </si>
  <si>
    <t xml:space="preserve"> VI. PAYS NON SPECIFIES</t>
  </si>
  <si>
    <t>Jan-Avril</t>
  </si>
  <si>
    <t>(1) : République Démocratique du Congo</t>
  </si>
  <si>
    <t>Source : OBR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</si>
</sst>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4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2" applyNumberFormat="1" applyFont="1" applyAlignment="1">
      <alignment/>
    </xf>
    <xf numFmtId="187" fontId="7" fillId="0" borderId="0" xfId="42" applyFont="1" applyAlignment="1">
      <alignment/>
    </xf>
    <xf numFmtId="200" fontId="7" fillId="0" borderId="0" xfId="42" applyNumberFormat="1" applyFont="1" applyAlignment="1">
      <alignment/>
    </xf>
    <xf numFmtId="206" fontId="7" fillId="0" borderId="0" xfId="42" applyNumberFormat="1" applyFont="1" applyAlignment="1">
      <alignment/>
    </xf>
    <xf numFmtId="206" fontId="8" fillId="0" borderId="12" xfId="42" applyNumberFormat="1" applyFont="1" applyFill="1" applyBorder="1" applyAlignment="1">
      <alignment horizontal="center"/>
    </xf>
    <xf numFmtId="206" fontId="7" fillId="0" borderId="0" xfId="42" applyNumberFormat="1" applyFont="1" applyBorder="1" applyAlignment="1">
      <alignment/>
    </xf>
    <xf numFmtId="206" fontId="7" fillId="0" borderId="10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/>
    </xf>
    <xf numFmtId="206" fontId="8" fillId="0" borderId="19" xfId="42" applyNumberFormat="1" applyFont="1" applyFill="1" applyBorder="1" applyAlignment="1" applyProtection="1">
      <alignment horizontal="right"/>
      <protection/>
    </xf>
    <xf numFmtId="206" fontId="8" fillId="0" borderId="19" xfId="42" applyNumberFormat="1" applyFont="1" applyFill="1" applyBorder="1" applyAlignment="1">
      <alignment horizontal="right"/>
    </xf>
    <xf numFmtId="206" fontId="7" fillId="0" borderId="19" xfId="42" applyNumberFormat="1" applyFont="1" applyBorder="1" applyAlignment="1">
      <alignment/>
    </xf>
    <xf numFmtId="206" fontId="7" fillId="0" borderId="0" xfId="42" applyNumberFormat="1" applyFont="1" applyFill="1" applyAlignment="1">
      <alignment/>
    </xf>
    <xf numFmtId="210" fontId="0" fillId="0" borderId="0" xfId="42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2" applyNumberFormat="1" applyFont="1" applyBorder="1" applyAlignment="1">
      <alignment/>
    </xf>
    <xf numFmtId="206" fontId="8" fillId="0" borderId="0" xfId="42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2" applyFont="1" applyFill="1" applyAlignment="1">
      <alignment/>
    </xf>
    <xf numFmtId="206" fontId="7" fillId="0" borderId="19" xfId="42" applyNumberFormat="1" applyFont="1" applyBorder="1" applyAlignment="1">
      <alignment horizontal="right"/>
    </xf>
    <xf numFmtId="206" fontId="7" fillId="0" borderId="17" xfId="42" applyNumberFormat="1" applyFont="1" applyBorder="1" applyAlignment="1">
      <alignment horizontal="right"/>
    </xf>
    <xf numFmtId="206" fontId="7" fillId="0" borderId="20" xfId="42" applyNumberFormat="1" applyFont="1" applyBorder="1" applyAlignment="1">
      <alignment horizontal="right"/>
    </xf>
    <xf numFmtId="206" fontId="7" fillId="0" borderId="19" xfId="42" applyNumberFormat="1" applyFont="1" applyFill="1" applyBorder="1" applyAlignment="1" applyProtection="1">
      <alignment horizontal="right"/>
      <protection/>
    </xf>
    <xf numFmtId="206" fontId="43" fillId="33" borderId="19" xfId="42" applyNumberFormat="1" applyFont="1" applyFill="1" applyBorder="1" applyAlignment="1">
      <alignment horizontal="right"/>
    </xf>
    <xf numFmtId="206" fontId="43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 horizontal="right"/>
    </xf>
    <xf numFmtId="206" fontId="7" fillId="0" borderId="17" xfId="42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/>
    </xf>
    <xf numFmtId="206" fontId="8" fillId="0" borderId="20" xfId="42" applyNumberFormat="1" applyFont="1" applyFill="1" applyBorder="1" applyAlignment="1" applyProtection="1">
      <alignment horizontal="right"/>
      <protection/>
    </xf>
    <xf numFmtId="206" fontId="7" fillId="34" borderId="19" xfId="42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205" fontId="8" fillId="0" borderId="19" xfId="42" applyNumberFormat="1" applyFont="1" applyFill="1" applyBorder="1" applyAlignment="1">
      <alignment horizontal="right"/>
    </xf>
    <xf numFmtId="205" fontId="7" fillId="0" borderId="19" xfId="42" applyNumberFormat="1" applyFont="1" applyFill="1" applyBorder="1" applyAlignment="1">
      <alignment horizontal="right"/>
    </xf>
    <xf numFmtId="187" fontId="7" fillId="0" borderId="0" xfId="42" applyFont="1" applyFill="1" applyBorder="1" applyAlignment="1">
      <alignment/>
    </xf>
    <xf numFmtId="205" fontId="7" fillId="0" borderId="19" xfId="42" applyNumberFormat="1" applyFont="1" applyFill="1" applyBorder="1" applyAlignment="1" applyProtection="1">
      <alignment horizontal="right"/>
      <protection/>
    </xf>
    <xf numFmtId="187" fontId="8" fillId="0" borderId="19" xfId="42" applyFont="1" applyFill="1" applyBorder="1" applyAlignment="1">
      <alignment horizontal="right"/>
    </xf>
    <xf numFmtId="205" fontId="8" fillId="0" borderId="19" xfId="42" applyNumberFormat="1" applyFont="1" applyFill="1" applyBorder="1" applyAlignment="1" applyProtection="1">
      <alignment horizontal="right"/>
      <protection/>
    </xf>
    <xf numFmtId="187" fontId="8" fillId="0" borderId="19" xfId="42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F98"/>
  <sheetViews>
    <sheetView showGridLines="0" tabSelected="1" view="pageBreakPreview" zoomScaleNormal="110" zoomScaleSheetLayoutView="100" zoomScalePageLayoutView="0" workbookViewId="0" topLeftCell="A19">
      <selection activeCell="IH84" sqref="IH84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hidden="1" customWidth="1"/>
    <col min="106" max="109" width="9.21484375" style="6" bestFit="1" customWidth="1"/>
    <col min="110" max="110" width="9.21484375" style="6" customWidth="1"/>
    <col min="111" max="112" width="12.88671875" style="7" hidden="1" customWidth="1"/>
    <col min="113" max="113" width="12.5546875" style="7" hidden="1" customWidth="1"/>
    <col min="114" max="114" width="13.77734375" style="7" hidden="1" customWidth="1"/>
    <col min="115" max="115" width="13.4453125" style="7" hidden="1" customWidth="1"/>
    <col min="116" max="116" width="13.77734375" style="7" hidden="1" customWidth="1"/>
    <col min="117" max="118" width="14.21484375" style="7" hidden="1" customWidth="1"/>
    <col min="119" max="119" width="14.3359375" style="7" hidden="1" customWidth="1"/>
    <col min="120" max="121" width="14.21484375" style="7" hidden="1" customWidth="1"/>
    <col min="122" max="122" width="12.88671875" style="7" hidden="1" customWidth="1"/>
    <col min="123" max="123" width="14.21484375" style="7" hidden="1" customWidth="1"/>
    <col min="124" max="133" width="12.88671875" style="7" hidden="1" customWidth="1"/>
    <col min="134" max="135" width="12.5546875" style="7" hidden="1" customWidth="1"/>
    <col min="136" max="136" width="14.21484375" style="7" hidden="1" customWidth="1"/>
    <col min="137" max="143" width="12.88671875" style="7" hidden="1" customWidth="1"/>
    <col min="144" max="144" width="12.5546875" style="7" hidden="1" customWidth="1"/>
    <col min="145" max="148" width="12.88671875" style="7" hidden="1" customWidth="1"/>
    <col min="149" max="149" width="14.21484375" style="7" hidden="1" customWidth="1"/>
    <col min="150" max="150" width="12.88671875" style="8" hidden="1" customWidth="1"/>
    <col min="151" max="151" width="12.5546875" style="8" hidden="1" customWidth="1"/>
    <col min="152" max="160" width="12.88671875" style="8" hidden="1" customWidth="1"/>
    <col min="161" max="161" width="12.88671875" style="119" hidden="1" customWidth="1"/>
    <col min="162" max="162" width="14.21484375" style="8" hidden="1" customWidth="1"/>
    <col min="163" max="163" width="12.88671875" style="8" hidden="1" customWidth="1"/>
    <col min="164" max="173" width="12.88671875" style="1" hidden="1" customWidth="1"/>
    <col min="174" max="174" width="13.4453125" style="1" hidden="1" customWidth="1"/>
    <col min="175" max="175" width="14.21484375" style="8" hidden="1" customWidth="1"/>
    <col min="176" max="188" width="12.88671875" style="1" hidden="1" customWidth="1"/>
    <col min="189" max="189" width="14.21484375" style="1" hidden="1" customWidth="1"/>
    <col min="190" max="206" width="12.88671875" style="1" hidden="1" customWidth="1"/>
    <col min="207" max="207" width="12.5546875" style="1" hidden="1" customWidth="1"/>
    <col min="208" max="217" width="12.88671875" style="1" hidden="1" customWidth="1"/>
    <col min="218" max="218" width="12.5546875" style="1" hidden="1" customWidth="1"/>
    <col min="219" max="219" width="12.88671875" style="1" hidden="1" customWidth="1"/>
    <col min="220" max="221" width="12.6640625" style="1" hidden="1" customWidth="1"/>
    <col min="222" max="222" width="10.6640625" style="1" hidden="1" customWidth="1"/>
    <col min="223" max="223" width="9.3359375" style="1" hidden="1" customWidth="1"/>
    <col min="224" max="224" width="9.88671875" style="1" hidden="1" customWidth="1"/>
    <col min="225" max="237" width="10.10546875" style="1" hidden="1" customWidth="1"/>
    <col min="238" max="239" width="11.77734375" style="1" bestFit="1" customWidth="1"/>
    <col min="240" max="16384" width="8.10546875" style="1" customWidth="1"/>
  </cols>
  <sheetData>
    <row r="3" spans="1:175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FF3" s="28"/>
      <c r="FG3" s="28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28"/>
    </row>
    <row r="4" spans="1:239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120"/>
      <c r="FF4" s="114"/>
      <c r="FG4" s="114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14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57" t="s">
        <v>130</v>
      </c>
    </row>
    <row r="5" spans="1:239" ht="15.75">
      <c r="A5" s="170" t="s">
        <v>122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71"/>
      <c r="EE5" s="171"/>
      <c r="EF5" s="171"/>
      <c r="EG5" s="171"/>
      <c r="EH5" s="171"/>
      <c r="EI5" s="171"/>
      <c r="EJ5" s="171"/>
      <c r="EK5" s="171"/>
      <c r="EL5" s="171"/>
      <c r="EM5" s="171"/>
      <c r="EN5" s="171"/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1"/>
      <c r="EZ5" s="171"/>
      <c r="FA5" s="171"/>
      <c r="FB5" s="171"/>
      <c r="FC5" s="171"/>
      <c r="FD5" s="171"/>
      <c r="FE5" s="171"/>
      <c r="FF5" s="171"/>
      <c r="FG5" s="171"/>
      <c r="FH5" s="171"/>
      <c r="FI5" s="171"/>
      <c r="FJ5" s="171"/>
      <c r="FK5" s="171"/>
      <c r="FL5" s="171"/>
      <c r="FM5" s="171"/>
      <c r="FN5" s="171"/>
      <c r="FO5" s="171"/>
      <c r="FP5" s="171"/>
      <c r="FQ5" s="171"/>
      <c r="FR5" s="171"/>
      <c r="FS5" s="171"/>
      <c r="FT5" s="171"/>
      <c r="FU5" s="171"/>
      <c r="FV5" s="171"/>
      <c r="FW5" s="171"/>
      <c r="FX5" s="171"/>
      <c r="FY5" s="171"/>
      <c r="FZ5" s="171"/>
      <c r="GA5" s="171"/>
      <c r="GB5" s="171"/>
      <c r="GC5" s="171"/>
      <c r="GD5" s="171"/>
      <c r="GE5" s="171"/>
      <c r="GF5" s="171"/>
      <c r="GG5" s="171"/>
      <c r="GH5" s="171"/>
      <c r="GI5" s="171"/>
      <c r="GJ5" s="171"/>
      <c r="GK5" s="171"/>
      <c r="GL5" s="171"/>
      <c r="GM5" s="171"/>
      <c r="GN5" s="171"/>
      <c r="GO5" s="171"/>
      <c r="GP5" s="171"/>
      <c r="GQ5" s="171"/>
      <c r="GR5" s="171"/>
      <c r="GS5" s="171"/>
      <c r="GT5" s="171"/>
      <c r="GU5" s="171"/>
      <c r="GV5" s="171"/>
      <c r="GW5" s="171"/>
      <c r="GX5" s="171"/>
      <c r="GY5" s="171"/>
      <c r="GZ5" s="171"/>
      <c r="HA5" s="171"/>
      <c r="HB5" s="171"/>
      <c r="HC5" s="171"/>
      <c r="HD5" s="171"/>
      <c r="HE5" s="171"/>
      <c r="HF5" s="171"/>
      <c r="HG5" s="171"/>
      <c r="HH5" s="171"/>
      <c r="HI5" s="171"/>
      <c r="HJ5" s="171"/>
      <c r="HK5" s="171"/>
      <c r="HL5" s="171"/>
      <c r="HM5" s="171"/>
      <c r="HN5" s="171"/>
      <c r="HO5" s="171"/>
      <c r="HP5" s="171"/>
      <c r="HQ5" s="171"/>
      <c r="HR5" s="171"/>
      <c r="HS5" s="171"/>
      <c r="HT5" s="171"/>
      <c r="HU5" s="171"/>
      <c r="HV5" s="171"/>
      <c r="HW5" s="171"/>
      <c r="HX5" s="171"/>
      <c r="HY5" s="171"/>
      <c r="HZ5" s="171"/>
      <c r="IA5" s="171"/>
      <c r="IB5" s="171"/>
      <c r="IC5" s="171"/>
      <c r="ID5" s="171"/>
      <c r="IE5" s="172"/>
    </row>
    <row r="6" spans="1:239" ht="15.75">
      <c r="A6" s="170" t="s">
        <v>134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2"/>
    </row>
    <row r="7" spans="1:239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22"/>
      <c r="FF7" s="113"/>
      <c r="FG7" s="113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13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33"/>
    </row>
    <row r="8" spans="1:239" ht="15.75">
      <c r="A8" s="36" t="s">
        <v>119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0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112"/>
      <c r="EU8" s="112"/>
      <c r="EV8" s="112"/>
      <c r="EW8" s="112"/>
      <c r="EX8" s="115"/>
      <c r="EY8" s="112"/>
      <c r="EZ8" s="112"/>
      <c r="FA8" s="112"/>
      <c r="FB8" s="112"/>
      <c r="FC8" s="112"/>
      <c r="FD8" s="112"/>
      <c r="FE8" s="127"/>
      <c r="FF8" s="112"/>
      <c r="FG8" s="112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112"/>
      <c r="FT8" s="64"/>
      <c r="FU8" s="64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3"/>
      <c r="IE8" s="43"/>
    </row>
    <row r="9" spans="1:239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0">
        <v>2017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>
        <v>2009</v>
      </c>
      <c r="DR9" s="49"/>
      <c r="DS9" s="49">
        <v>2009</v>
      </c>
      <c r="DT9" s="49">
        <v>2010</v>
      </c>
      <c r="DU9" s="50">
        <v>2010</v>
      </c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17">
        <v>2010</v>
      </c>
      <c r="EG9" s="49">
        <v>2011</v>
      </c>
      <c r="EH9" s="49">
        <v>2011</v>
      </c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>
        <v>2011</v>
      </c>
      <c r="ET9" s="42">
        <v>2012</v>
      </c>
      <c r="EU9" s="49"/>
      <c r="EV9" s="49"/>
      <c r="EW9" s="49"/>
      <c r="EX9" s="86"/>
      <c r="EY9" s="49"/>
      <c r="EZ9" s="49"/>
      <c r="FA9" s="49"/>
      <c r="FB9" s="49"/>
      <c r="FC9" s="49"/>
      <c r="FD9" s="49"/>
      <c r="FE9" s="123"/>
      <c r="FF9" s="42">
        <v>2012</v>
      </c>
      <c r="FG9" s="42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64">
        <v>2013</v>
      </c>
      <c r="FS9" s="42">
        <v>2013</v>
      </c>
      <c r="FT9" s="64">
        <v>2013</v>
      </c>
      <c r="FU9" s="64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2014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2015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2016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45">
        <v>2017</v>
      </c>
      <c r="HR9" s="45">
        <v>2018</v>
      </c>
      <c r="HS9" s="45">
        <v>2018</v>
      </c>
      <c r="HT9" s="45">
        <v>2018</v>
      </c>
      <c r="HU9" s="45">
        <v>2018</v>
      </c>
      <c r="HV9" s="45">
        <v>2018</v>
      </c>
      <c r="HW9" s="45">
        <v>2018</v>
      </c>
      <c r="HX9" s="45">
        <v>2018</v>
      </c>
      <c r="HY9" s="45">
        <v>2018</v>
      </c>
      <c r="HZ9" s="45">
        <v>2018</v>
      </c>
      <c r="IA9" s="45">
        <v>2018</v>
      </c>
      <c r="IB9" s="45">
        <v>2018</v>
      </c>
      <c r="IC9" s="45">
        <v>2018</v>
      </c>
      <c r="ID9" s="64">
        <v>2017</v>
      </c>
      <c r="IE9" s="64">
        <v>2018</v>
      </c>
    </row>
    <row r="10" spans="1:239" s="6" customFormat="1" ht="15.75">
      <c r="A10" s="36" t="s">
        <v>118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79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73</v>
      </c>
      <c r="AL10" s="38" t="s">
        <v>23</v>
      </c>
      <c r="AM10" s="38" t="s">
        <v>74</v>
      </c>
      <c r="AN10" s="38" t="s">
        <v>76</v>
      </c>
      <c r="AO10" s="38" t="s">
        <v>77</v>
      </c>
      <c r="AP10" s="38" t="s">
        <v>78</v>
      </c>
      <c r="AQ10" s="42" t="s">
        <v>79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92</v>
      </c>
      <c r="AZ10" s="38" t="s">
        <v>93</v>
      </c>
      <c r="BA10" s="38" t="s">
        <v>94</v>
      </c>
      <c r="BB10" s="38" t="s">
        <v>95</v>
      </c>
      <c r="BC10" s="38" t="s">
        <v>96</v>
      </c>
      <c r="BD10" s="38" t="s">
        <v>73</v>
      </c>
      <c r="BE10" s="38" t="s">
        <v>97</v>
      </c>
      <c r="BF10" s="38" t="s">
        <v>98</v>
      </c>
      <c r="BG10" s="38" t="s">
        <v>99</v>
      </c>
      <c r="BH10" s="38" t="s">
        <v>100</v>
      </c>
      <c r="BI10" s="38" t="s">
        <v>101</v>
      </c>
      <c r="BJ10" s="42" t="s">
        <v>104</v>
      </c>
      <c r="BK10" s="42" t="s">
        <v>105</v>
      </c>
      <c r="BL10" s="38" t="s">
        <v>103</v>
      </c>
      <c r="BM10" s="38" t="s">
        <v>18</v>
      </c>
      <c r="BN10" s="38" t="s">
        <v>87</v>
      </c>
      <c r="BO10" s="38" t="s">
        <v>20</v>
      </c>
      <c r="BP10" s="38" t="s">
        <v>21</v>
      </c>
      <c r="BQ10" s="38" t="s">
        <v>88</v>
      </c>
      <c r="BR10" s="38" t="s">
        <v>23</v>
      </c>
      <c r="BS10" s="38" t="s">
        <v>89</v>
      </c>
      <c r="BT10" s="38" t="s">
        <v>90</v>
      </c>
      <c r="BU10" s="38" t="s">
        <v>91</v>
      </c>
      <c r="BV10" s="38" t="s">
        <v>78</v>
      </c>
      <c r="BW10" s="38" t="s">
        <v>104</v>
      </c>
      <c r="BX10" s="42" t="s">
        <v>105</v>
      </c>
      <c r="BY10" s="38" t="s">
        <v>103</v>
      </c>
      <c r="BZ10" s="38" t="s">
        <v>18</v>
      </c>
      <c r="CA10" s="38" t="s">
        <v>87</v>
      </c>
      <c r="CB10" s="38" t="s">
        <v>20</v>
      </c>
      <c r="CC10" s="38" t="s">
        <v>21</v>
      </c>
      <c r="CD10" s="38" t="s">
        <v>88</v>
      </c>
      <c r="CE10" s="38" t="s">
        <v>23</v>
      </c>
      <c r="CF10" s="38" t="s">
        <v>89</v>
      </c>
      <c r="CG10" s="38" t="s">
        <v>90</v>
      </c>
      <c r="CH10" s="38" t="s">
        <v>91</v>
      </c>
      <c r="CI10" s="38" t="s">
        <v>78</v>
      </c>
      <c r="CJ10" s="38" t="s">
        <v>104</v>
      </c>
      <c r="CK10" s="42" t="s">
        <v>112</v>
      </c>
      <c r="CL10" s="42" t="s">
        <v>113</v>
      </c>
      <c r="CM10" s="42" t="s">
        <v>114</v>
      </c>
      <c r="CN10" s="42" t="s">
        <v>108</v>
      </c>
      <c r="CO10" s="42" t="s">
        <v>107</v>
      </c>
      <c r="CP10" s="42" t="s">
        <v>109</v>
      </c>
      <c r="CQ10" s="42" t="s">
        <v>110</v>
      </c>
      <c r="CR10" s="42" t="s">
        <v>111</v>
      </c>
      <c r="CS10" s="42" t="s">
        <v>117</v>
      </c>
      <c r="CT10" s="42" t="s">
        <v>120</v>
      </c>
      <c r="CU10" s="42" t="s">
        <v>104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0"/>
      <c r="DG10" s="49" t="s">
        <v>105</v>
      </c>
      <c r="DH10" s="42" t="s">
        <v>124</v>
      </c>
      <c r="DI10" s="42" t="s">
        <v>113</v>
      </c>
      <c r="DJ10" s="42" t="s">
        <v>114</v>
      </c>
      <c r="DK10" s="42" t="s">
        <v>108</v>
      </c>
      <c r="DL10" s="42" t="s">
        <v>107</v>
      </c>
      <c r="DM10" s="42" t="s">
        <v>110</v>
      </c>
      <c r="DN10" s="42" t="s">
        <v>110</v>
      </c>
      <c r="DO10" s="42" t="s">
        <v>125</v>
      </c>
      <c r="DP10" s="42" t="s">
        <v>123</v>
      </c>
      <c r="DQ10" s="42" t="s">
        <v>120</v>
      </c>
      <c r="DR10" s="42" t="s">
        <v>126</v>
      </c>
      <c r="DS10" s="49" t="s">
        <v>121</v>
      </c>
      <c r="DT10" s="49" t="s">
        <v>105</v>
      </c>
      <c r="DU10" s="40" t="s">
        <v>127</v>
      </c>
      <c r="DV10" s="40" t="s">
        <v>18</v>
      </c>
      <c r="DW10" s="40" t="s">
        <v>19</v>
      </c>
      <c r="DX10" s="40" t="s">
        <v>20</v>
      </c>
      <c r="DY10" s="40" t="s">
        <v>21</v>
      </c>
      <c r="DZ10" s="40" t="s">
        <v>22</v>
      </c>
      <c r="EA10" s="40" t="s">
        <v>23</v>
      </c>
      <c r="EB10" s="40" t="s">
        <v>24</v>
      </c>
      <c r="EC10" s="40" t="s">
        <v>25</v>
      </c>
      <c r="ED10" s="40" t="s">
        <v>26</v>
      </c>
      <c r="EE10" s="40" t="s">
        <v>126</v>
      </c>
      <c r="EF10" s="47" t="s">
        <v>121</v>
      </c>
      <c r="EG10" s="42" t="s">
        <v>105</v>
      </c>
      <c r="EH10" s="42" t="s">
        <v>127</v>
      </c>
      <c r="EI10" s="42" t="s">
        <v>18</v>
      </c>
      <c r="EJ10" s="42" t="s">
        <v>19</v>
      </c>
      <c r="EK10" s="42" t="s">
        <v>20</v>
      </c>
      <c r="EL10" s="42" t="s">
        <v>21</v>
      </c>
      <c r="EM10" s="42" t="s">
        <v>22</v>
      </c>
      <c r="EN10" s="42" t="s">
        <v>23</v>
      </c>
      <c r="EO10" s="42" t="s">
        <v>24</v>
      </c>
      <c r="EP10" s="42" t="s">
        <v>25</v>
      </c>
      <c r="EQ10" s="42" t="s">
        <v>26</v>
      </c>
      <c r="ER10" s="42" t="s">
        <v>126</v>
      </c>
      <c r="ES10" s="48" t="s">
        <v>128</v>
      </c>
      <c r="ET10" s="42" t="s">
        <v>105</v>
      </c>
      <c r="EU10" s="42" t="s">
        <v>127</v>
      </c>
      <c r="EV10" s="42" t="s">
        <v>18</v>
      </c>
      <c r="EW10" s="42" t="s">
        <v>19</v>
      </c>
      <c r="EX10" s="47" t="s">
        <v>20</v>
      </c>
      <c r="EY10" s="42" t="s">
        <v>21</v>
      </c>
      <c r="EZ10" s="42" t="s">
        <v>22</v>
      </c>
      <c r="FA10" s="42" t="s">
        <v>23</v>
      </c>
      <c r="FB10" s="42" t="s">
        <v>24</v>
      </c>
      <c r="FC10" s="42" t="s">
        <v>25</v>
      </c>
      <c r="FD10" s="42" t="s">
        <v>26</v>
      </c>
      <c r="FE10" s="123" t="s">
        <v>126</v>
      </c>
      <c r="FF10" s="48" t="s">
        <v>121</v>
      </c>
      <c r="FG10" s="48" t="s">
        <v>105</v>
      </c>
      <c r="FH10" s="42" t="s">
        <v>127</v>
      </c>
      <c r="FI10" s="42" t="s">
        <v>18</v>
      </c>
      <c r="FJ10" s="42" t="s">
        <v>19</v>
      </c>
      <c r="FK10" s="42" t="s">
        <v>20</v>
      </c>
      <c r="FL10" s="42" t="s">
        <v>21</v>
      </c>
      <c r="FM10" s="42" t="s">
        <v>22</v>
      </c>
      <c r="FN10" s="42" t="s">
        <v>23</v>
      </c>
      <c r="FO10" s="42" t="s">
        <v>98</v>
      </c>
      <c r="FP10" s="42" t="s">
        <v>99</v>
      </c>
      <c r="FQ10" s="42" t="s">
        <v>100</v>
      </c>
      <c r="FR10" s="42" t="s">
        <v>101</v>
      </c>
      <c r="FS10" s="48"/>
      <c r="FT10" s="42" t="s">
        <v>127</v>
      </c>
      <c r="FU10" s="42" t="s">
        <v>129</v>
      </c>
      <c r="FV10" s="47" t="s">
        <v>127</v>
      </c>
      <c r="FW10" s="47" t="s">
        <v>18</v>
      </c>
      <c r="FX10" s="47" t="s">
        <v>19</v>
      </c>
      <c r="FY10" s="47" t="s">
        <v>20</v>
      </c>
      <c r="FZ10" s="47" t="s">
        <v>21</v>
      </c>
      <c r="GA10" s="47" t="s">
        <v>22</v>
      </c>
      <c r="GB10" s="47" t="s">
        <v>23</v>
      </c>
      <c r="GC10" s="47" t="s">
        <v>24</v>
      </c>
      <c r="GD10" s="47" t="s">
        <v>25</v>
      </c>
      <c r="GE10" s="47" t="s">
        <v>26</v>
      </c>
      <c r="GF10" s="47" t="s">
        <v>126</v>
      </c>
      <c r="GG10" s="47" t="s">
        <v>131</v>
      </c>
      <c r="GH10" s="47" t="s">
        <v>129</v>
      </c>
      <c r="GI10" s="47" t="s">
        <v>92</v>
      </c>
      <c r="GJ10" s="47" t="s">
        <v>93</v>
      </c>
      <c r="GK10" s="47" t="s">
        <v>94</v>
      </c>
      <c r="GL10" s="47" t="s">
        <v>95</v>
      </c>
      <c r="GM10" s="47" t="s">
        <v>96</v>
      </c>
      <c r="GN10" s="47" t="s">
        <v>73</v>
      </c>
      <c r="GO10" s="47" t="s">
        <v>97</v>
      </c>
      <c r="GP10" s="47" t="s">
        <v>98</v>
      </c>
      <c r="GQ10" s="47" t="s">
        <v>99</v>
      </c>
      <c r="GR10" s="47" t="s">
        <v>100</v>
      </c>
      <c r="GS10" s="47" t="s">
        <v>101</v>
      </c>
      <c r="GT10" s="47" t="s">
        <v>129</v>
      </c>
      <c r="GU10" s="47" t="s">
        <v>92</v>
      </c>
      <c r="GV10" s="47" t="s">
        <v>93</v>
      </c>
      <c r="GW10" s="47" t="s">
        <v>94</v>
      </c>
      <c r="GX10" s="47" t="s">
        <v>95</v>
      </c>
      <c r="GY10" s="47" t="s">
        <v>21</v>
      </c>
      <c r="GZ10" s="47" t="s">
        <v>22</v>
      </c>
      <c r="HA10" s="47" t="s">
        <v>23</v>
      </c>
      <c r="HB10" s="47" t="s">
        <v>24</v>
      </c>
      <c r="HC10" s="47" t="s">
        <v>25</v>
      </c>
      <c r="HD10" s="47" t="s">
        <v>26</v>
      </c>
      <c r="HE10" s="47" t="s">
        <v>126</v>
      </c>
      <c r="HF10" s="47" t="s">
        <v>105</v>
      </c>
      <c r="HG10" s="47" t="s">
        <v>127</v>
      </c>
      <c r="HH10" s="47" t="s">
        <v>18</v>
      </c>
      <c r="HI10" s="47" t="s">
        <v>19</v>
      </c>
      <c r="HJ10" s="47" t="s">
        <v>20</v>
      </c>
      <c r="HK10" s="47" t="s">
        <v>21</v>
      </c>
      <c r="HL10" s="47" t="s">
        <v>22</v>
      </c>
      <c r="HM10" s="47" t="s">
        <v>23</v>
      </c>
      <c r="HN10" s="47" t="s">
        <v>24</v>
      </c>
      <c r="HO10" s="47" t="s">
        <v>25</v>
      </c>
      <c r="HP10" s="47" t="s">
        <v>26</v>
      </c>
      <c r="HQ10" s="47" t="s">
        <v>126</v>
      </c>
      <c r="HR10" s="47" t="s">
        <v>105</v>
      </c>
      <c r="HS10" s="47" t="s">
        <v>127</v>
      </c>
      <c r="HT10" s="47" t="s">
        <v>18</v>
      </c>
      <c r="HU10" s="47" t="s">
        <v>19</v>
      </c>
      <c r="HV10" s="47" t="s">
        <v>20</v>
      </c>
      <c r="HW10" s="47" t="s">
        <v>21</v>
      </c>
      <c r="HX10" s="47" t="s">
        <v>22</v>
      </c>
      <c r="HY10" s="47" t="s">
        <v>23</v>
      </c>
      <c r="HZ10" s="47" t="s">
        <v>24</v>
      </c>
      <c r="IA10" s="47" t="s">
        <v>25</v>
      </c>
      <c r="IB10" s="47" t="s">
        <v>26</v>
      </c>
      <c r="IC10" s="47" t="s">
        <v>126</v>
      </c>
      <c r="ID10" s="42" t="s">
        <v>136</v>
      </c>
      <c r="IE10" s="42" t="s">
        <v>136</v>
      </c>
    </row>
    <row r="11" spans="1:239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6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49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4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29"/>
      <c r="EY11" s="60"/>
      <c r="EZ11" s="60"/>
      <c r="FA11" s="60"/>
      <c r="FB11" s="60"/>
      <c r="FC11" s="60"/>
      <c r="FD11" s="60"/>
      <c r="FE11" s="124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60"/>
      <c r="IE11" s="60"/>
    </row>
    <row r="12" spans="1:239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159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Q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>SUM(DF15,DF31)</f>
        <v>109323.51249999998</v>
      </c>
      <c r="DG13" s="125">
        <f t="shared" si="2"/>
        <v>1953.2</v>
      </c>
      <c r="DH13" s="125">
        <f t="shared" si="2"/>
        <v>5436.299999999999</v>
      </c>
      <c r="DI13" s="125">
        <f t="shared" si="2"/>
        <v>9391.4</v>
      </c>
      <c r="DJ13" s="125">
        <f t="shared" si="2"/>
        <v>11371.700000000003</v>
      </c>
      <c r="DK13" s="125">
        <f t="shared" si="2"/>
        <v>13106.8</v>
      </c>
      <c r="DL13" s="125">
        <f t="shared" si="2"/>
        <v>14430.900000000001</v>
      </c>
      <c r="DM13" s="125">
        <f t="shared" si="2"/>
        <v>17461.899999999998</v>
      </c>
      <c r="DN13" s="125">
        <f t="shared" si="2"/>
        <v>19422.600000000002</v>
      </c>
      <c r="DO13" s="125">
        <f t="shared" si="2"/>
        <v>21542.499999999996</v>
      </c>
      <c r="DP13" s="125">
        <f t="shared" si="2"/>
        <v>22848.2</v>
      </c>
      <c r="DQ13" s="125">
        <f t="shared" si="2"/>
        <v>25571.5</v>
      </c>
      <c r="DR13" s="125">
        <f t="shared" si="2"/>
        <v>2909</v>
      </c>
      <c r="DS13" s="125">
        <f t="shared" si="2"/>
        <v>28480.5</v>
      </c>
      <c r="DT13" s="125">
        <f t="shared" si="2"/>
        <v>1922</v>
      </c>
      <c r="DU13" s="125">
        <f t="shared" si="2"/>
        <v>1756</v>
      </c>
      <c r="DV13" s="125">
        <f t="shared" si="2"/>
        <v>2796</v>
      </c>
      <c r="DW13" s="125">
        <f t="shared" si="2"/>
        <v>2642</v>
      </c>
      <c r="DX13" s="125">
        <f t="shared" si="2"/>
        <v>1950.3490000000004</v>
      </c>
      <c r="DY13" s="125">
        <f t="shared" si="2"/>
        <v>1506.731</v>
      </c>
      <c r="DZ13" s="125">
        <f t="shared" si="2"/>
        <v>1991</v>
      </c>
      <c r="EA13" s="125">
        <f t="shared" si="2"/>
        <v>2298.2000000000003</v>
      </c>
      <c r="EB13" s="125">
        <f t="shared" si="2"/>
        <v>1604.3329999999999</v>
      </c>
      <c r="EC13" s="125">
        <f t="shared" si="2"/>
        <v>3391.2380000000003</v>
      </c>
      <c r="ED13" s="125">
        <f t="shared" si="2"/>
        <v>4114.138000000001</v>
      </c>
      <c r="EE13" s="125">
        <f t="shared" si="2"/>
        <v>3150.0299999999997</v>
      </c>
      <c r="EF13" s="125">
        <f t="shared" si="2"/>
        <v>29122.019000000004</v>
      </c>
      <c r="EG13" s="125">
        <f t="shared" si="2"/>
        <v>2474.2</v>
      </c>
      <c r="EH13" s="125">
        <f t="shared" si="2"/>
        <v>4909</v>
      </c>
      <c r="EI13" s="125">
        <f t="shared" si="2"/>
        <v>3546.1</v>
      </c>
      <c r="EJ13" s="125">
        <f t="shared" si="2"/>
        <v>6957.605</v>
      </c>
      <c r="EK13" s="125">
        <f t="shared" si="2"/>
        <v>4085.9</v>
      </c>
      <c r="EL13" s="125">
        <f t="shared" si="2"/>
        <v>4710.6</v>
      </c>
      <c r="EM13" s="125">
        <f t="shared" si="2"/>
        <v>4206.599999999999</v>
      </c>
      <c r="EN13" s="125">
        <f t="shared" si="2"/>
        <v>7725.5</v>
      </c>
      <c r="EO13" s="125">
        <f t="shared" si="2"/>
        <v>5168.511</v>
      </c>
      <c r="EP13" s="125">
        <f t="shared" si="2"/>
        <v>2867.545</v>
      </c>
      <c r="EQ13" s="125">
        <f t="shared" si="2"/>
        <v>5378.900000000001</v>
      </c>
      <c r="ER13" s="125">
        <f aca="true" t="shared" si="3" ref="ER13:GU13">SUM(ER15,ER31)</f>
        <v>7403.6</v>
      </c>
      <c r="ES13" s="125">
        <f t="shared" si="3"/>
        <v>59434.061</v>
      </c>
      <c r="ET13" s="125">
        <f t="shared" si="3"/>
        <v>8069.152</v>
      </c>
      <c r="EU13" s="125">
        <f t="shared" si="3"/>
        <v>3268.5780000000004</v>
      </c>
      <c r="EV13" s="125">
        <f t="shared" si="3"/>
        <v>3530.807</v>
      </c>
      <c r="EW13" s="125">
        <f t="shared" si="3"/>
        <v>7075.240000000002</v>
      </c>
      <c r="EX13" s="125">
        <f t="shared" si="3"/>
        <v>7550.879</v>
      </c>
      <c r="EY13" s="125">
        <f t="shared" si="3"/>
        <v>5348.5</v>
      </c>
      <c r="EZ13" s="125">
        <f t="shared" si="3"/>
        <v>5546.797</v>
      </c>
      <c r="FA13" s="125">
        <f t="shared" si="3"/>
        <v>4642.58</v>
      </c>
      <c r="FB13" s="125">
        <f t="shared" si="3"/>
        <v>6558.625</v>
      </c>
      <c r="FC13" s="125">
        <f t="shared" si="3"/>
        <v>6817.419999999998</v>
      </c>
      <c r="FD13" s="125">
        <f t="shared" si="3"/>
        <v>5662.349</v>
      </c>
      <c r="FE13" s="125">
        <f t="shared" si="3"/>
        <v>6901.751</v>
      </c>
      <c r="FF13" s="125">
        <f t="shared" si="3"/>
        <v>70972.67799999999</v>
      </c>
      <c r="FG13" s="125">
        <f t="shared" si="3"/>
        <v>5807.0960000000005</v>
      </c>
      <c r="FH13" s="125">
        <f t="shared" si="3"/>
        <v>8375.402</v>
      </c>
      <c r="FI13" s="125">
        <f t="shared" si="3"/>
        <v>5138.504</v>
      </c>
      <c r="FJ13" s="125">
        <f t="shared" si="3"/>
        <v>8307.188999999998</v>
      </c>
      <c r="FK13" s="125">
        <f t="shared" si="3"/>
        <v>4620.101000000001</v>
      </c>
      <c r="FL13" s="125">
        <f t="shared" si="3"/>
        <v>5747.5</v>
      </c>
      <c r="FM13" s="125">
        <f t="shared" si="3"/>
        <v>2465.186</v>
      </c>
      <c r="FN13" s="125">
        <f t="shared" si="3"/>
        <v>2911.486</v>
      </c>
      <c r="FO13" s="125">
        <f t="shared" si="3"/>
        <v>4448.039</v>
      </c>
      <c r="FP13" s="125">
        <f t="shared" si="3"/>
        <v>6067.099999999999</v>
      </c>
      <c r="FQ13" s="125">
        <f t="shared" si="3"/>
        <v>14677.193</v>
      </c>
      <c r="FR13" s="125">
        <f t="shared" si="3"/>
        <v>5404.1</v>
      </c>
      <c r="FS13" s="125">
        <f t="shared" si="3"/>
        <v>73968.896</v>
      </c>
      <c r="FT13" s="125">
        <f t="shared" si="3"/>
        <v>8375.402</v>
      </c>
      <c r="FU13" s="125">
        <f t="shared" si="3"/>
        <v>10330.697</v>
      </c>
      <c r="FV13" s="125">
        <f t="shared" si="3"/>
        <v>6814.715999999999</v>
      </c>
      <c r="FW13" s="125">
        <f t="shared" si="3"/>
        <v>6237.5470000000005</v>
      </c>
      <c r="FX13" s="125">
        <f t="shared" si="3"/>
        <v>5148.565</v>
      </c>
      <c r="FY13" s="125">
        <f t="shared" si="3"/>
        <v>5111.322</v>
      </c>
      <c r="FZ13" s="125">
        <f t="shared" si="3"/>
        <v>20753.189000000002</v>
      </c>
      <c r="GA13" s="125">
        <f t="shared" si="3"/>
        <v>2405.196</v>
      </c>
      <c r="GB13" s="125">
        <f t="shared" si="3"/>
        <v>7543.0689999999995</v>
      </c>
      <c r="GC13" s="125">
        <f t="shared" si="3"/>
        <v>12663.403000000002</v>
      </c>
      <c r="GD13" s="125">
        <f t="shared" si="3"/>
        <v>6036.172</v>
      </c>
      <c r="GE13" s="125">
        <f t="shared" si="3"/>
        <v>8997.488</v>
      </c>
      <c r="GF13" s="125">
        <f t="shared" si="3"/>
        <v>7424.824</v>
      </c>
      <c r="GG13" s="125">
        <f t="shared" si="3"/>
        <v>99466.188</v>
      </c>
      <c r="GH13" s="125">
        <f t="shared" si="3"/>
        <v>6797.217</v>
      </c>
      <c r="GI13" s="125">
        <f t="shared" si="3"/>
        <v>8783.621000000001</v>
      </c>
      <c r="GJ13" s="125">
        <f t="shared" si="3"/>
        <v>8883.991</v>
      </c>
      <c r="GK13" s="125">
        <f t="shared" si="3"/>
        <v>8521.345000000001</v>
      </c>
      <c r="GL13" s="125">
        <f t="shared" si="3"/>
        <v>3698.267999999999</v>
      </c>
      <c r="GM13" s="125">
        <f t="shared" si="3"/>
        <v>7909.038</v>
      </c>
      <c r="GN13" s="125">
        <f t="shared" si="3"/>
        <v>8485.621</v>
      </c>
      <c r="GO13" s="125">
        <f t="shared" si="3"/>
        <v>3938.812</v>
      </c>
      <c r="GP13" s="125">
        <f t="shared" si="3"/>
        <v>2731.993</v>
      </c>
      <c r="GQ13" s="125">
        <f t="shared" si="3"/>
        <v>7760.183999999999</v>
      </c>
      <c r="GR13" s="125">
        <f t="shared" si="3"/>
        <v>7731.051</v>
      </c>
      <c r="GS13" s="125">
        <f t="shared" si="3"/>
        <v>11203.055</v>
      </c>
      <c r="GT13" s="125">
        <f t="shared" si="3"/>
        <v>6102.925000000001</v>
      </c>
      <c r="GU13" s="125">
        <f t="shared" si="3"/>
        <v>15430.292</v>
      </c>
      <c r="GV13" s="125">
        <f aca="true" t="shared" si="4" ref="GV13:HD13">SUM(GV15,GV31)</f>
        <v>2533.5860000000002</v>
      </c>
      <c r="GW13" s="125">
        <f t="shared" si="4"/>
        <v>5675.022999999999</v>
      </c>
      <c r="GX13" s="125">
        <f t="shared" si="4"/>
        <v>6153.535999999999</v>
      </c>
      <c r="GY13" s="125">
        <f t="shared" si="4"/>
        <v>18365.126</v>
      </c>
      <c r="GZ13" s="125">
        <f t="shared" si="4"/>
        <v>4921.245999999999</v>
      </c>
      <c r="HA13" s="125">
        <f t="shared" si="4"/>
        <v>8387.436</v>
      </c>
      <c r="HB13" s="125">
        <f t="shared" si="4"/>
        <v>12271.596000000001</v>
      </c>
      <c r="HC13" s="125">
        <f t="shared" si="4"/>
        <v>7102.058999999999</v>
      </c>
      <c r="HD13" s="125">
        <f t="shared" si="4"/>
        <v>5791.602000000001</v>
      </c>
      <c r="HE13" s="125">
        <f>HE15+HE31</f>
        <v>14528.921999999999</v>
      </c>
      <c r="HF13" s="125">
        <f aca="true" t="shared" si="5" ref="HF13:HP13">HF15+HF31</f>
        <v>6220.195</v>
      </c>
      <c r="HG13" s="125">
        <f t="shared" si="5"/>
        <v>4134.452</v>
      </c>
      <c r="HH13" s="125">
        <f t="shared" si="5"/>
        <v>5461.11</v>
      </c>
      <c r="HI13" s="125">
        <f t="shared" si="5"/>
        <v>3379.8129999999996</v>
      </c>
      <c r="HJ13" s="125">
        <f t="shared" si="5"/>
        <v>11128.392</v>
      </c>
      <c r="HK13" s="125">
        <f t="shared" si="5"/>
        <v>9010.220000000001</v>
      </c>
      <c r="HL13" s="125">
        <f t="shared" si="5"/>
        <v>5585.301</v>
      </c>
      <c r="HM13" s="125">
        <f t="shared" si="5"/>
        <v>9735.854</v>
      </c>
      <c r="HN13" s="125">
        <f t="shared" si="5"/>
        <v>5535.9445</v>
      </c>
      <c r="HO13" s="125">
        <f t="shared" si="5"/>
        <v>23201.05</v>
      </c>
      <c r="HP13" s="125">
        <f t="shared" si="5"/>
        <v>14221.056</v>
      </c>
      <c r="HQ13" s="125">
        <f aca="true" t="shared" si="6" ref="HQ13:IC13">HQ15+HQ31</f>
        <v>11710.125</v>
      </c>
      <c r="HR13" s="125">
        <f t="shared" si="6"/>
        <v>9455.137</v>
      </c>
      <c r="HS13" s="125">
        <f t="shared" si="6"/>
        <v>6729.94</v>
      </c>
      <c r="HT13" s="125">
        <f t="shared" si="6"/>
        <v>19110.466999999997</v>
      </c>
      <c r="HU13" s="125">
        <f t="shared" si="6"/>
        <v>9902.041</v>
      </c>
      <c r="HV13" s="125">
        <f t="shared" si="6"/>
        <v>0</v>
      </c>
      <c r="HW13" s="125">
        <f t="shared" si="6"/>
        <v>0</v>
      </c>
      <c r="HX13" s="125">
        <f t="shared" si="6"/>
        <v>0</v>
      </c>
      <c r="HY13" s="125">
        <f t="shared" si="6"/>
        <v>0</v>
      </c>
      <c r="HZ13" s="125">
        <f t="shared" si="6"/>
        <v>0</v>
      </c>
      <c r="IA13" s="125">
        <f t="shared" si="6"/>
        <v>0</v>
      </c>
      <c r="IB13" s="125">
        <f t="shared" si="6"/>
        <v>0</v>
      </c>
      <c r="IC13" s="125">
        <f t="shared" si="6"/>
        <v>0</v>
      </c>
      <c r="ID13" s="125">
        <f>ID15+ID31</f>
        <v>19195.57</v>
      </c>
      <c r="IE13" s="125">
        <f>IE15+IE31</f>
        <v>45197.585</v>
      </c>
    </row>
    <row r="14" spans="1:239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6"/>
      <c r="EC14" s="126"/>
      <c r="ED14" s="126"/>
      <c r="EE14" s="126"/>
      <c r="EF14" s="125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5"/>
      <c r="IE14" s="125"/>
    </row>
    <row r="15" spans="1:239" ht="15.75">
      <c r="A15" s="130" t="s">
        <v>30</v>
      </c>
      <c r="B15" s="65">
        <f>SUM(B17:B28)</f>
        <v>50008</v>
      </c>
      <c r="C15" s="65">
        <f aca="true" t="shared" si="7" ref="C15:AW15">SUM(C17:C28)</f>
        <v>54337</v>
      </c>
      <c r="D15" s="65">
        <f t="shared" si="7"/>
        <v>61336</v>
      </c>
      <c r="E15" s="65">
        <f t="shared" si="7"/>
        <v>56118</v>
      </c>
      <c r="F15" s="65">
        <f t="shared" si="7"/>
        <v>44534.2</v>
      </c>
      <c r="G15" s="65">
        <f t="shared" si="7"/>
        <v>45537</v>
      </c>
      <c r="H15" s="65">
        <f t="shared" si="7"/>
        <v>52847</v>
      </c>
      <c r="I15" s="65">
        <f t="shared" si="7"/>
        <v>53739</v>
      </c>
      <c r="J15" s="65">
        <f t="shared" si="7"/>
        <v>49646</v>
      </c>
      <c r="K15" s="65">
        <f t="shared" si="7"/>
        <v>55669</v>
      </c>
      <c r="L15" s="65">
        <f t="shared" si="7"/>
        <v>66817</v>
      </c>
      <c r="M15" s="65">
        <f t="shared" si="7"/>
        <v>23190</v>
      </c>
      <c r="N15" s="65">
        <f t="shared" si="7"/>
        <v>21947</v>
      </c>
      <c r="O15" s="65">
        <f t="shared" si="7"/>
        <v>29449</v>
      </c>
      <c r="P15" s="65">
        <f t="shared" si="7"/>
        <v>18250</v>
      </c>
      <c r="Q15" s="65">
        <f t="shared" si="7"/>
        <v>1607</v>
      </c>
      <c r="R15" s="65">
        <f t="shared" si="7"/>
        <v>1107</v>
      </c>
      <c r="S15" s="65">
        <f t="shared" si="7"/>
        <v>1886</v>
      </c>
      <c r="T15" s="65">
        <f t="shared" si="7"/>
        <v>2084</v>
      </c>
      <c r="U15" s="65">
        <f t="shared" si="7"/>
        <v>2031</v>
      </c>
      <c r="V15" s="65">
        <f t="shared" si="7"/>
        <v>720</v>
      </c>
      <c r="W15" s="65">
        <f t="shared" si="7"/>
        <v>1273</v>
      </c>
      <c r="X15" s="65">
        <f t="shared" si="7"/>
        <v>1160</v>
      </c>
      <c r="Y15" s="65">
        <f t="shared" si="7"/>
        <v>1254</v>
      </c>
      <c r="Z15" s="65">
        <f t="shared" si="7"/>
        <v>922</v>
      </c>
      <c r="AA15" s="65">
        <f t="shared" si="7"/>
        <v>2746</v>
      </c>
      <c r="AB15" s="65">
        <f t="shared" si="7"/>
        <v>1460</v>
      </c>
      <c r="AC15" s="65">
        <f t="shared" si="7"/>
        <v>18250</v>
      </c>
      <c r="AD15" s="65">
        <f t="shared" si="7"/>
        <v>22999</v>
      </c>
      <c r="AE15" s="65">
        <f t="shared" si="7"/>
        <v>1524</v>
      </c>
      <c r="AF15" s="65">
        <f t="shared" si="7"/>
        <v>1671</v>
      </c>
      <c r="AG15" s="65">
        <f t="shared" si="7"/>
        <v>1803</v>
      </c>
      <c r="AH15" s="65">
        <f t="shared" si="7"/>
        <v>1586</v>
      </c>
      <c r="AI15" s="65">
        <f t="shared" si="7"/>
        <v>2113</v>
      </c>
      <c r="AJ15" s="65">
        <f t="shared" si="7"/>
        <v>1330</v>
      </c>
      <c r="AK15" s="65">
        <f t="shared" si="7"/>
        <v>2284</v>
      </c>
      <c r="AL15" s="65">
        <f t="shared" si="7"/>
        <v>1972</v>
      </c>
      <c r="AM15" s="65">
        <f t="shared" si="7"/>
        <v>1282</v>
      </c>
      <c r="AN15" s="65">
        <f t="shared" si="7"/>
        <v>1857</v>
      </c>
      <c r="AO15" s="65">
        <f t="shared" si="7"/>
        <v>2629</v>
      </c>
      <c r="AP15" s="65">
        <f t="shared" si="7"/>
        <v>2948</v>
      </c>
      <c r="AQ15" s="65">
        <f t="shared" si="7"/>
        <v>22999</v>
      </c>
      <c r="AR15" s="65">
        <f t="shared" si="7"/>
        <v>21393</v>
      </c>
      <c r="AS15" s="65">
        <f t="shared" si="7"/>
        <v>23936</v>
      </c>
      <c r="AT15" s="65">
        <f t="shared" si="7"/>
        <v>21163</v>
      </c>
      <c r="AU15" s="65">
        <f t="shared" si="7"/>
        <v>19619</v>
      </c>
      <c r="AV15" s="65">
        <f t="shared" si="7"/>
        <v>134281.2</v>
      </c>
      <c r="AW15" s="65">
        <f t="shared" si="7"/>
        <v>41829</v>
      </c>
      <c r="AX15" s="65">
        <f aca="true" t="shared" si="8" ref="AX15:CZ15">SUM(AX17:AX28)</f>
        <v>1393</v>
      </c>
      <c r="AY15" s="65">
        <f t="shared" si="8"/>
        <v>1056</v>
      </c>
      <c r="AZ15" s="65">
        <f t="shared" si="8"/>
        <v>2313</v>
      </c>
      <c r="BA15" s="65">
        <f t="shared" si="8"/>
        <v>1927</v>
      </c>
      <c r="BB15" s="65">
        <f t="shared" si="8"/>
        <v>2231</v>
      </c>
      <c r="BC15" s="65">
        <f t="shared" si="8"/>
        <v>1510</v>
      </c>
      <c r="BD15" s="65">
        <f t="shared" si="8"/>
        <v>1131</v>
      </c>
      <c r="BE15" s="65">
        <f t="shared" si="8"/>
        <v>1513</v>
      </c>
      <c r="BF15" s="65">
        <f t="shared" si="8"/>
        <v>1388</v>
      </c>
      <c r="BG15" s="65">
        <f t="shared" si="8"/>
        <v>2524</v>
      </c>
      <c r="BH15" s="65">
        <f t="shared" si="8"/>
        <v>993</v>
      </c>
      <c r="BI15" s="65">
        <f t="shared" si="8"/>
        <v>1640</v>
      </c>
      <c r="BJ15" s="65">
        <f t="shared" si="8"/>
        <v>19619</v>
      </c>
      <c r="BK15" s="65">
        <f t="shared" si="8"/>
        <v>1234</v>
      </c>
      <c r="BL15" s="65">
        <f t="shared" si="8"/>
        <v>1700</v>
      </c>
      <c r="BM15" s="65">
        <f t="shared" si="8"/>
        <v>2313</v>
      </c>
      <c r="BN15" s="65">
        <f t="shared" si="8"/>
        <v>2471</v>
      </c>
      <c r="BO15" s="65">
        <f t="shared" si="8"/>
        <v>2333</v>
      </c>
      <c r="BP15" s="65">
        <f t="shared" si="8"/>
        <v>2457</v>
      </c>
      <c r="BQ15" s="65">
        <f t="shared" si="8"/>
        <v>2259.7999999999997</v>
      </c>
      <c r="BR15" s="65">
        <f t="shared" si="8"/>
        <v>3094.9</v>
      </c>
      <c r="BS15" s="65">
        <f t="shared" si="8"/>
        <v>1807.4000000000003</v>
      </c>
      <c r="BT15" s="65">
        <f t="shared" si="8"/>
        <v>3324.5000000000005</v>
      </c>
      <c r="BU15" s="65">
        <f t="shared" si="8"/>
        <v>105789.6</v>
      </c>
      <c r="BV15" s="65">
        <f t="shared" si="8"/>
        <v>5497</v>
      </c>
      <c r="BW15" s="65">
        <f t="shared" si="8"/>
        <v>134281.19999999998</v>
      </c>
      <c r="BX15" s="65">
        <f t="shared" si="8"/>
        <v>6812</v>
      </c>
      <c r="BY15" s="65">
        <f t="shared" si="8"/>
        <v>6796.6</v>
      </c>
      <c r="BZ15" s="65">
        <f t="shared" si="8"/>
        <v>2930.7999999999997</v>
      </c>
      <c r="CA15" s="65">
        <f t="shared" si="8"/>
        <v>2134.8999999999996</v>
      </c>
      <c r="CB15" s="65">
        <f t="shared" si="8"/>
        <v>2932.8</v>
      </c>
      <c r="CC15" s="65">
        <f t="shared" si="8"/>
        <v>3008.199999999999</v>
      </c>
      <c r="CD15" s="65">
        <f t="shared" si="8"/>
        <v>3336.6000000000004</v>
      </c>
      <c r="CE15" s="65">
        <f t="shared" si="8"/>
        <v>5596.5</v>
      </c>
      <c r="CF15" s="65">
        <f t="shared" si="8"/>
        <v>1881.4999999999977</v>
      </c>
      <c r="CG15" s="65">
        <f t="shared" si="8"/>
        <v>1994.8999999999999</v>
      </c>
      <c r="CH15" s="65">
        <f t="shared" si="8"/>
        <v>2456.2000000000035</v>
      </c>
      <c r="CI15" s="65">
        <f t="shared" si="8"/>
        <v>1947.5999999999958</v>
      </c>
      <c r="CJ15" s="65">
        <f t="shared" si="8"/>
        <v>41828.6</v>
      </c>
      <c r="CK15" s="65">
        <f t="shared" si="8"/>
        <v>13517.7</v>
      </c>
      <c r="CL15" s="65">
        <f t="shared" si="8"/>
        <v>16539</v>
      </c>
      <c r="CM15" s="65">
        <f t="shared" si="8"/>
        <v>18674.3</v>
      </c>
      <c r="CN15" s="65">
        <f t="shared" si="8"/>
        <v>21607.1</v>
      </c>
      <c r="CO15" s="65">
        <f t="shared" si="8"/>
        <v>24615.2</v>
      </c>
      <c r="CP15" s="65">
        <f t="shared" si="8"/>
        <v>27949.8</v>
      </c>
      <c r="CQ15" s="65">
        <f t="shared" si="8"/>
        <v>33548.5</v>
      </c>
      <c r="CR15" s="65">
        <f t="shared" si="8"/>
        <v>35430.299999999996</v>
      </c>
      <c r="CS15" s="65">
        <f t="shared" si="8"/>
        <v>37424.5</v>
      </c>
      <c r="CT15" s="65">
        <f t="shared" si="8"/>
        <v>39881.1</v>
      </c>
      <c r="CU15" s="65">
        <f t="shared" si="8"/>
        <v>41828.6</v>
      </c>
      <c r="CV15" s="65">
        <f t="shared" si="8"/>
        <v>23036.4</v>
      </c>
      <c r="CW15" s="65">
        <f t="shared" si="8"/>
        <v>25877.699999999997</v>
      </c>
      <c r="CX15" s="65">
        <f t="shared" si="8"/>
        <v>26357.3</v>
      </c>
      <c r="CY15" s="145">
        <f t="shared" si="8"/>
        <v>24263.627000000004</v>
      </c>
      <c r="CZ15" s="125">
        <f t="shared" si="8"/>
        <v>48963.667</v>
      </c>
      <c r="DA15" s="125">
        <f aca="true" t="shared" si="9" ref="DA15:ER15">SUM(DA17:DA28)</f>
        <v>48486.01499999999</v>
      </c>
      <c r="DB15" s="125">
        <f t="shared" si="9"/>
        <v>42769.37499999999</v>
      </c>
      <c r="DC15" s="125">
        <f t="shared" si="9"/>
        <v>39706.142</v>
      </c>
      <c r="DD15" s="125">
        <f t="shared" si="9"/>
        <v>41869.45900000001</v>
      </c>
      <c r="DE15" s="125">
        <f t="shared" si="9"/>
        <v>83074.27999999998</v>
      </c>
      <c r="DF15" s="125">
        <f>SUM(DF17:DF28)</f>
        <v>47833.559499999996</v>
      </c>
      <c r="DG15" s="125">
        <f t="shared" si="9"/>
        <v>1928.8</v>
      </c>
      <c r="DH15" s="125">
        <f t="shared" si="9"/>
        <v>4976.9</v>
      </c>
      <c r="DI15" s="125">
        <f t="shared" si="9"/>
        <v>8773.9</v>
      </c>
      <c r="DJ15" s="125">
        <f t="shared" si="9"/>
        <v>10545.000000000002</v>
      </c>
      <c r="DK15" s="125">
        <f t="shared" si="9"/>
        <v>12174</v>
      </c>
      <c r="DL15" s="125">
        <f t="shared" si="9"/>
        <v>13471.7</v>
      </c>
      <c r="DM15" s="125">
        <f t="shared" si="9"/>
        <v>16249.699999999999</v>
      </c>
      <c r="DN15" s="125">
        <f t="shared" si="9"/>
        <v>18182.7</v>
      </c>
      <c r="DO15" s="125">
        <f t="shared" si="9"/>
        <v>20240.499999999996</v>
      </c>
      <c r="DP15" s="125">
        <f t="shared" si="9"/>
        <v>21530</v>
      </c>
      <c r="DQ15" s="125">
        <f t="shared" si="9"/>
        <v>24019.3</v>
      </c>
      <c r="DR15" s="125">
        <f t="shared" si="9"/>
        <v>2338</v>
      </c>
      <c r="DS15" s="125">
        <f t="shared" si="9"/>
        <v>26357.3</v>
      </c>
      <c r="DT15" s="125">
        <f t="shared" si="9"/>
        <v>1606</v>
      </c>
      <c r="DU15" s="125">
        <f t="shared" si="9"/>
        <v>1688</v>
      </c>
      <c r="DV15" s="125">
        <f t="shared" si="9"/>
        <v>2646</v>
      </c>
      <c r="DW15" s="125">
        <f t="shared" si="9"/>
        <v>1501</v>
      </c>
      <c r="DX15" s="125">
        <f t="shared" si="9"/>
        <v>1918.6850000000004</v>
      </c>
      <c r="DY15" s="125">
        <f t="shared" si="9"/>
        <v>1253.548</v>
      </c>
      <c r="DZ15" s="125">
        <f t="shared" si="9"/>
        <v>1932</v>
      </c>
      <c r="EA15" s="125">
        <f t="shared" si="9"/>
        <v>2230.8</v>
      </c>
      <c r="EB15" s="125">
        <f t="shared" si="9"/>
        <v>1454.6399999999999</v>
      </c>
      <c r="EC15" s="125">
        <f t="shared" si="9"/>
        <v>3335.0460000000003</v>
      </c>
      <c r="ED15" s="125">
        <f t="shared" si="9"/>
        <v>2544.1380000000004</v>
      </c>
      <c r="EE15" s="125">
        <f t="shared" si="9"/>
        <v>2153.77</v>
      </c>
      <c r="EF15" s="125">
        <f t="shared" si="9"/>
        <v>24263.627000000004</v>
      </c>
      <c r="EG15" s="125">
        <f t="shared" si="9"/>
        <v>2205.2</v>
      </c>
      <c r="EH15" s="125">
        <f t="shared" si="9"/>
        <v>4057</v>
      </c>
      <c r="EI15" s="125">
        <f t="shared" si="9"/>
        <v>2503.1</v>
      </c>
      <c r="EJ15" s="125">
        <f t="shared" si="9"/>
        <v>6556.143999999999</v>
      </c>
      <c r="EK15" s="125">
        <f t="shared" si="9"/>
        <v>3292.9</v>
      </c>
      <c r="EL15" s="125">
        <f t="shared" si="9"/>
        <v>3321.6000000000004</v>
      </c>
      <c r="EM15" s="125">
        <f t="shared" si="9"/>
        <v>3679.2</v>
      </c>
      <c r="EN15" s="125">
        <f t="shared" si="9"/>
        <v>5721.21</v>
      </c>
      <c r="EO15" s="125">
        <f t="shared" si="9"/>
        <v>4418.198</v>
      </c>
      <c r="EP15" s="125">
        <f t="shared" si="9"/>
        <v>2574.1150000000002</v>
      </c>
      <c r="EQ15" s="125">
        <f t="shared" si="9"/>
        <v>4706.1</v>
      </c>
      <c r="ER15" s="125">
        <f t="shared" si="9"/>
        <v>5928.900000000001</v>
      </c>
      <c r="ES15" s="125">
        <f aca="true" t="shared" si="10" ref="ES15:HD15">SUM(ES17:ES28)</f>
        <v>48963.667</v>
      </c>
      <c r="ET15" s="125">
        <f t="shared" si="10"/>
        <v>5534.4800000000005</v>
      </c>
      <c r="EU15" s="125">
        <f t="shared" si="10"/>
        <v>2407.7680000000005</v>
      </c>
      <c r="EV15" s="125">
        <f t="shared" si="10"/>
        <v>2821.115</v>
      </c>
      <c r="EW15" s="125">
        <f t="shared" si="10"/>
        <v>5447.420000000001</v>
      </c>
      <c r="EX15" s="125">
        <f t="shared" si="10"/>
        <v>3467.031</v>
      </c>
      <c r="EY15" s="125">
        <f t="shared" si="10"/>
        <v>3104.1</v>
      </c>
      <c r="EZ15" s="125">
        <f t="shared" si="10"/>
        <v>4662.427</v>
      </c>
      <c r="FA15" s="125">
        <f t="shared" si="10"/>
        <v>3896.7059999999997</v>
      </c>
      <c r="FB15" s="125">
        <f t="shared" si="10"/>
        <v>3903.9250000000006</v>
      </c>
      <c r="FC15" s="125">
        <f t="shared" si="10"/>
        <v>5020.449999999999</v>
      </c>
      <c r="FD15" s="125">
        <f t="shared" si="10"/>
        <v>4383.475</v>
      </c>
      <c r="FE15" s="125">
        <f t="shared" si="10"/>
        <v>3837.118</v>
      </c>
      <c r="FF15" s="125">
        <f t="shared" si="10"/>
        <v>48486.01499999999</v>
      </c>
      <c r="FG15" s="125">
        <f t="shared" si="10"/>
        <v>1308.5990000000002</v>
      </c>
      <c r="FH15" s="125">
        <f t="shared" si="10"/>
        <v>3017.9930000000004</v>
      </c>
      <c r="FI15" s="125">
        <f t="shared" si="10"/>
        <v>3053.4049999999997</v>
      </c>
      <c r="FJ15" s="125">
        <f t="shared" si="10"/>
        <v>7850.330999999999</v>
      </c>
      <c r="FK15" s="125">
        <f t="shared" si="10"/>
        <v>4588.656000000001</v>
      </c>
      <c r="FL15" s="125">
        <f t="shared" si="10"/>
        <v>5516.9</v>
      </c>
      <c r="FM15" s="125">
        <f t="shared" si="10"/>
        <v>1575.219</v>
      </c>
      <c r="FN15" s="125">
        <f t="shared" si="10"/>
        <v>2456.089</v>
      </c>
      <c r="FO15" s="125">
        <f t="shared" si="10"/>
        <v>1739.327</v>
      </c>
      <c r="FP15" s="125">
        <f t="shared" si="10"/>
        <v>5201.9</v>
      </c>
      <c r="FQ15" s="125">
        <f t="shared" si="10"/>
        <v>4930.856</v>
      </c>
      <c r="FR15" s="125">
        <f t="shared" si="10"/>
        <v>1530.1000000000001</v>
      </c>
      <c r="FS15" s="125">
        <f t="shared" si="10"/>
        <v>42769.37499999999</v>
      </c>
      <c r="FT15" s="125">
        <f t="shared" si="10"/>
        <v>3017.9930000000004</v>
      </c>
      <c r="FU15" s="125">
        <f t="shared" si="10"/>
        <v>2723.2549999999997</v>
      </c>
      <c r="FV15" s="125">
        <f t="shared" si="10"/>
        <v>2515.191</v>
      </c>
      <c r="FW15" s="125">
        <f t="shared" si="10"/>
        <v>3922.0920000000006</v>
      </c>
      <c r="FX15" s="125">
        <f t="shared" si="10"/>
        <v>2998.2719999999995</v>
      </c>
      <c r="FY15" s="125">
        <f t="shared" si="10"/>
        <v>2960.0110000000004</v>
      </c>
      <c r="FZ15" s="125">
        <f t="shared" si="10"/>
        <v>4483.614000000001</v>
      </c>
      <c r="GA15" s="125">
        <f t="shared" si="10"/>
        <v>1876.416</v>
      </c>
      <c r="GB15" s="125">
        <f t="shared" si="10"/>
        <v>4288.757</v>
      </c>
      <c r="GC15" s="125">
        <f t="shared" si="10"/>
        <v>4532.347000000001</v>
      </c>
      <c r="GD15" s="125">
        <f t="shared" si="10"/>
        <v>2799.5119999999997</v>
      </c>
      <c r="GE15" s="125">
        <f t="shared" si="10"/>
        <v>2558.1949999999993</v>
      </c>
      <c r="GF15" s="125">
        <f t="shared" si="10"/>
        <v>4048.4799999999996</v>
      </c>
      <c r="GG15" s="125">
        <f t="shared" si="10"/>
        <v>39706.142</v>
      </c>
      <c r="GH15" s="125">
        <f t="shared" si="10"/>
        <v>3131.5779999999995</v>
      </c>
      <c r="GI15" s="125">
        <f t="shared" si="10"/>
        <v>3196.6630000000005</v>
      </c>
      <c r="GJ15" s="125">
        <f t="shared" si="10"/>
        <v>6640.371</v>
      </c>
      <c r="GK15" s="125">
        <f t="shared" si="10"/>
        <v>3481.9040000000005</v>
      </c>
      <c r="GL15" s="125">
        <f t="shared" si="10"/>
        <v>3351.5279999999993</v>
      </c>
      <c r="GM15" s="125">
        <f t="shared" si="10"/>
        <v>4630.456999999999</v>
      </c>
      <c r="GN15" s="125">
        <f t="shared" si="10"/>
        <v>3473.8300000000004</v>
      </c>
      <c r="GO15" s="125">
        <f t="shared" si="10"/>
        <v>3065.598</v>
      </c>
      <c r="GP15" s="125">
        <f t="shared" si="10"/>
        <v>2500.7</v>
      </c>
      <c r="GQ15" s="125">
        <f t="shared" si="10"/>
        <v>3214.5869999999995</v>
      </c>
      <c r="GR15" s="125">
        <f t="shared" si="10"/>
        <v>1957.9000000000003</v>
      </c>
      <c r="GS15" s="125">
        <f t="shared" si="10"/>
        <v>4184.342</v>
      </c>
      <c r="GT15" s="125">
        <f t="shared" si="10"/>
        <v>5916.920000000001</v>
      </c>
      <c r="GU15" s="125">
        <f t="shared" si="10"/>
        <v>14606.499</v>
      </c>
      <c r="GV15" s="125">
        <f t="shared" si="10"/>
        <v>2171.5640000000003</v>
      </c>
      <c r="GW15" s="125">
        <f t="shared" si="10"/>
        <v>2417.2439999999997</v>
      </c>
      <c r="GX15" s="125">
        <f t="shared" si="10"/>
        <v>4974.898999999999</v>
      </c>
      <c r="GY15" s="125">
        <f t="shared" si="10"/>
        <v>14933.689999999999</v>
      </c>
      <c r="GZ15" s="125">
        <f t="shared" si="10"/>
        <v>2368.908</v>
      </c>
      <c r="HA15" s="125">
        <f t="shared" si="10"/>
        <v>7043.383</v>
      </c>
      <c r="HB15" s="125">
        <f t="shared" si="10"/>
        <v>9324.479000000001</v>
      </c>
      <c r="HC15" s="125">
        <f t="shared" si="10"/>
        <v>3469.758</v>
      </c>
      <c r="HD15" s="125">
        <f t="shared" si="10"/>
        <v>4992.7480000000005</v>
      </c>
      <c r="HE15" s="125">
        <f>SUM(HE17:HE28)</f>
        <v>10854.187999999998</v>
      </c>
      <c r="HF15" s="125">
        <f aca="true" t="shared" si="11" ref="HF15:HP15">SUM(HF17:HF28)</f>
        <v>4769.939</v>
      </c>
      <c r="HG15" s="125">
        <f t="shared" si="11"/>
        <v>2776.308</v>
      </c>
      <c r="HH15" s="125">
        <f t="shared" si="11"/>
        <v>2325.4159999999997</v>
      </c>
      <c r="HI15" s="125">
        <f t="shared" si="11"/>
        <v>3023.8599999999997</v>
      </c>
      <c r="HJ15" s="125">
        <f t="shared" si="11"/>
        <v>6419.683000000001</v>
      </c>
      <c r="HK15" s="125">
        <f t="shared" si="11"/>
        <v>5718.120000000001</v>
      </c>
      <c r="HL15" s="125">
        <f t="shared" si="11"/>
        <v>1628.818</v>
      </c>
      <c r="HM15" s="125">
        <f t="shared" si="11"/>
        <v>5111.425</v>
      </c>
      <c r="HN15" s="125">
        <f t="shared" si="11"/>
        <v>3484.9075000000003</v>
      </c>
      <c r="HO15" s="125">
        <f t="shared" si="11"/>
        <v>3080.1969999999997</v>
      </c>
      <c r="HP15" s="125">
        <f t="shared" si="11"/>
        <v>4660.53</v>
      </c>
      <c r="HQ15" s="125">
        <f aca="true" t="shared" si="12" ref="HQ15:IC15">SUM(HQ17:HQ28)</f>
        <v>4834.356000000001</v>
      </c>
      <c r="HR15" s="125">
        <f t="shared" si="12"/>
        <v>3461.496</v>
      </c>
      <c r="HS15" s="125">
        <f t="shared" si="12"/>
        <v>4392.224999999999</v>
      </c>
      <c r="HT15" s="125">
        <f t="shared" si="12"/>
        <v>2079.8689999999997</v>
      </c>
      <c r="HU15" s="125">
        <f t="shared" si="12"/>
        <v>2568.762</v>
      </c>
      <c r="HV15" s="125">
        <f t="shared" si="12"/>
        <v>0</v>
      </c>
      <c r="HW15" s="125">
        <f t="shared" si="12"/>
        <v>0</v>
      </c>
      <c r="HX15" s="125">
        <f t="shared" si="12"/>
        <v>0</v>
      </c>
      <c r="HY15" s="125">
        <f t="shared" si="12"/>
        <v>0</v>
      </c>
      <c r="HZ15" s="125">
        <f t="shared" si="12"/>
        <v>0</v>
      </c>
      <c r="IA15" s="125">
        <f t="shared" si="12"/>
        <v>0</v>
      </c>
      <c r="IB15" s="125">
        <f t="shared" si="12"/>
        <v>0</v>
      </c>
      <c r="IC15" s="125">
        <f t="shared" si="12"/>
        <v>0</v>
      </c>
      <c r="ID15" s="125">
        <f>SUM(ID17:ID28)</f>
        <v>12895.523</v>
      </c>
      <c r="IE15" s="125">
        <f>SUM(IE17:IE28)</f>
        <v>12502.352</v>
      </c>
    </row>
    <row r="16" spans="1:239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50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47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50"/>
      <c r="IE16" s="150"/>
    </row>
    <row r="17" spans="1:239" ht="15.75">
      <c r="A17" s="131" t="s">
        <v>81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3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4" ref="AC17:AC28">Q17+R17+S17+T17+U17+V17+W17+X17+Y17+Z17+AA17+AB17</f>
        <v>1373</v>
      </c>
      <c r="AD17" s="49">
        <f aca="true" t="shared" si="15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6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7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8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9" ref="CD17:CD27">CP17-CC17-CB17-CA17-BZ17-BY17-BX17</f>
        <v>62.69999999999993</v>
      </c>
      <c r="CE17" s="17">
        <f aca="true" t="shared" si="20" ref="CE17:CE27">CQ17-CD17-CC17-CB17-CA17-BZ17-BY17-BX17</f>
        <v>119.89999999999998</v>
      </c>
      <c r="CF17" s="17">
        <f aca="true" t="shared" si="21" ref="CF17:CF27">CR17-CE17-CD17-CC17-CB17-CA17-BZ17-BY17-BX17</f>
        <v>91.50000000000011</v>
      </c>
      <c r="CG17" s="17">
        <f aca="true" t="shared" si="22" ref="CG17:CG27">CS17-CF17-CE17-CD17-CC17-CB17-CA17-BZ17-BY17-BX17</f>
        <v>31.999999999999773</v>
      </c>
      <c r="CH17" s="17">
        <f aca="true" t="shared" si="23" ref="CH17:CH27">CT17-CG17-CF17-CE17-CD17-CC17-CB17-CA17-BZ17-BY17-BX17</f>
        <v>206.20000000000005</v>
      </c>
      <c r="CI17" s="17">
        <f aca="true" t="shared" si="24" ref="CI17:CI28">CU17-CH17-CG17-CF17-CE17-CD17-CC17-CB17-CA17-BZ17-BY17-BX17</f>
        <v>319.79999999999995</v>
      </c>
      <c r="CJ17" s="87">
        <f aca="true" t="shared" si="25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11388.295</v>
      </c>
      <c r="DG17" s="123">
        <v>80.6</v>
      </c>
      <c r="DH17" s="123">
        <v>168.1</v>
      </c>
      <c r="DI17" s="123">
        <v>256.4</v>
      </c>
      <c r="DJ17" s="123">
        <v>266</v>
      </c>
      <c r="DK17" s="123">
        <v>355</v>
      </c>
      <c r="DL17" s="123">
        <v>446.6</v>
      </c>
      <c r="DM17" s="123">
        <v>593.4</v>
      </c>
      <c r="DN17" s="123">
        <v>695.5</v>
      </c>
      <c r="DO17" s="123">
        <v>760.2</v>
      </c>
      <c r="DP17" s="123">
        <v>834.4</v>
      </c>
      <c r="DQ17" s="123">
        <v>868.4</v>
      </c>
      <c r="DR17" s="123">
        <v>45</v>
      </c>
      <c r="DS17" s="123">
        <f aca="true" t="shared" si="26" ref="DS17:DS22">DQ17+DR17</f>
        <v>913.4</v>
      </c>
      <c r="DT17" s="123">
        <v>18</v>
      </c>
      <c r="DU17" s="123">
        <v>72</v>
      </c>
      <c r="DV17" s="123">
        <v>130</v>
      </c>
      <c r="DW17" s="123">
        <v>150</v>
      </c>
      <c r="DX17" s="123">
        <f>'[1]Feuil2'!$D$6</f>
        <v>116.652</v>
      </c>
      <c r="DY17" s="123">
        <f>'[2]Feuil3'!$E$5</f>
        <v>4.935</v>
      </c>
      <c r="DZ17" s="123">
        <v>113</v>
      </c>
      <c r="EA17" s="123">
        <v>129</v>
      </c>
      <c r="EB17" s="123">
        <v>20.065</v>
      </c>
      <c r="EC17" s="123">
        <v>117.343</v>
      </c>
      <c r="ED17" s="123">
        <v>69</v>
      </c>
      <c r="EE17" s="123">
        <v>114.47</v>
      </c>
      <c r="EF17" s="150">
        <f aca="true" t="shared" si="27" ref="EF17:EF25">SUM(DT17:EE17)</f>
        <v>1054.465</v>
      </c>
      <c r="EG17" s="123">
        <v>69</v>
      </c>
      <c r="EH17" s="123">
        <v>2209</v>
      </c>
      <c r="EI17" s="123">
        <v>125</v>
      </c>
      <c r="EJ17" s="123">
        <v>135.215</v>
      </c>
      <c r="EK17" s="123">
        <v>509</v>
      </c>
      <c r="EL17" s="123">
        <v>269.4</v>
      </c>
      <c r="EM17" s="123">
        <v>113</v>
      </c>
      <c r="EN17" s="123">
        <v>115.26</v>
      </c>
      <c r="EO17" s="123">
        <v>107.836</v>
      </c>
      <c r="EP17" s="123">
        <v>177.852</v>
      </c>
      <c r="EQ17" s="123">
        <v>183.3</v>
      </c>
      <c r="ER17" s="123">
        <v>541.3</v>
      </c>
      <c r="ES17" s="123">
        <f>SUM(EG17:ER17)</f>
        <v>4555.1630000000005</v>
      </c>
      <c r="ET17" s="123">
        <v>258.16</v>
      </c>
      <c r="EU17" s="123">
        <v>145.585</v>
      </c>
      <c r="EV17" s="123">
        <f>'[4]IV5-IV6'!$D$7</f>
        <v>125.475</v>
      </c>
      <c r="EW17" s="123">
        <v>163.72</v>
      </c>
      <c r="EX17" s="123">
        <v>219.19</v>
      </c>
      <c r="EY17" s="123">
        <v>138.1</v>
      </c>
      <c r="EZ17" s="123">
        <v>299.077</v>
      </c>
      <c r="FA17" s="123">
        <v>221.077</v>
      </c>
      <c r="FB17" s="123">
        <v>286.1</v>
      </c>
      <c r="FC17" s="123">
        <v>109.97</v>
      </c>
      <c r="FD17" s="123">
        <v>185.235</v>
      </c>
      <c r="FE17" s="123">
        <v>282.454</v>
      </c>
      <c r="FF17" s="123">
        <f>SUM(ET17:FE17)</f>
        <v>2434.143</v>
      </c>
      <c r="FG17" s="123">
        <v>145.664</v>
      </c>
      <c r="FH17" s="123">
        <v>220.32</v>
      </c>
      <c r="FI17" s="123">
        <v>265.16</v>
      </c>
      <c r="FJ17" s="123">
        <f>'[5]IV5-IV6'!$C$45</f>
        <v>232.552</v>
      </c>
      <c r="FK17" s="123">
        <v>126.119</v>
      </c>
      <c r="FL17" s="123">
        <v>173.8</v>
      </c>
      <c r="FM17" s="123">
        <v>165.933</v>
      </c>
      <c r="FN17" s="123">
        <v>152.169</v>
      </c>
      <c r="FO17" s="123">
        <v>189.208</v>
      </c>
      <c r="FP17" s="123">
        <v>300.8</v>
      </c>
      <c r="FQ17" s="123">
        <v>321.2</v>
      </c>
      <c r="FR17" s="123">
        <v>76.2</v>
      </c>
      <c r="FS17" s="123">
        <f>+FG17+FH17+FI17+FJ17+FK17+FL17+FM17+FN17+FO17+FP17+FQ17+FR17</f>
        <v>2369.125</v>
      </c>
      <c r="FT17" s="123">
        <v>220.32</v>
      </c>
      <c r="FU17" s="123">
        <v>256.323</v>
      </c>
      <c r="FV17" s="123">
        <v>210.354</v>
      </c>
      <c r="FW17" s="123">
        <v>109.525</v>
      </c>
      <c r="FX17" s="123">
        <v>245.234</v>
      </c>
      <c r="FY17" s="123">
        <v>163.659</v>
      </c>
      <c r="FZ17" s="123">
        <v>230.115</v>
      </c>
      <c r="GA17" s="123">
        <v>156.759</v>
      </c>
      <c r="GB17" s="123">
        <v>265.551</v>
      </c>
      <c r="GC17" s="123">
        <v>495.543</v>
      </c>
      <c r="GD17" s="123">
        <v>278.098</v>
      </c>
      <c r="GE17" s="123">
        <v>326.193</v>
      </c>
      <c r="GF17" s="123">
        <v>238.042</v>
      </c>
      <c r="GG17" s="123">
        <f>SUM(FU17:GF17)</f>
        <v>2975.396</v>
      </c>
      <c r="GH17" s="123">
        <v>679.98</v>
      </c>
      <c r="GI17" s="123">
        <v>323.605</v>
      </c>
      <c r="GJ17" s="123">
        <v>505.786</v>
      </c>
      <c r="GK17" s="123">
        <v>255.935</v>
      </c>
      <c r="GL17" s="123">
        <v>167.749</v>
      </c>
      <c r="GM17" s="123">
        <v>111.683</v>
      </c>
      <c r="GN17" s="123">
        <v>118.043</v>
      </c>
      <c r="GO17" s="123">
        <v>142.815</v>
      </c>
      <c r="GP17" s="123">
        <v>138.333</v>
      </c>
      <c r="GQ17" s="123">
        <v>205.679</v>
      </c>
      <c r="GR17" s="123">
        <v>171.384</v>
      </c>
      <c r="GS17" s="123">
        <v>225.153</v>
      </c>
      <c r="GT17" s="123">
        <v>140.606</v>
      </c>
      <c r="GU17" s="123">
        <v>307.736</v>
      </c>
      <c r="GV17" s="123">
        <v>111.994</v>
      </c>
      <c r="GW17" s="123">
        <v>251.312</v>
      </c>
      <c r="GX17" s="123">
        <v>159.609</v>
      </c>
      <c r="GY17" s="123">
        <v>3102.784</v>
      </c>
      <c r="GZ17" s="123">
        <v>280.991</v>
      </c>
      <c r="HA17" s="123">
        <v>3705.086</v>
      </c>
      <c r="HB17" s="123">
        <v>1733.376</v>
      </c>
      <c r="HC17" s="123">
        <v>152.559</v>
      </c>
      <c r="HD17" s="123">
        <v>230.303</v>
      </c>
      <c r="HE17" s="123">
        <v>135.632</v>
      </c>
      <c r="HF17" s="123">
        <v>59.548</v>
      </c>
      <c r="HG17" s="123">
        <v>170.48</v>
      </c>
      <c r="HH17" s="123">
        <v>223.837</v>
      </c>
      <c r="HI17" s="123">
        <v>263.483</v>
      </c>
      <c r="HJ17" s="123">
        <v>2146.633</v>
      </c>
      <c r="HK17" s="123">
        <v>2450.679</v>
      </c>
      <c r="HL17" s="123">
        <v>277.474</v>
      </c>
      <c r="HM17" s="123">
        <v>2805.911</v>
      </c>
      <c r="HN17" s="123">
        <v>335.583</v>
      </c>
      <c r="HO17" s="123">
        <v>218.001</v>
      </c>
      <c r="HP17" s="123">
        <v>2176.499</v>
      </c>
      <c r="HQ17" s="123">
        <v>260.167</v>
      </c>
      <c r="HR17" s="123">
        <v>361.516</v>
      </c>
      <c r="HS17" s="123">
        <v>2177.18</v>
      </c>
      <c r="HT17" s="123">
        <v>187.204</v>
      </c>
      <c r="HU17" s="123">
        <v>305.533</v>
      </c>
      <c r="HV17" s="123"/>
      <c r="HW17" s="123"/>
      <c r="HX17" s="123"/>
      <c r="HY17" s="123"/>
      <c r="HZ17" s="123"/>
      <c r="IA17" s="123"/>
      <c r="IB17" s="123"/>
      <c r="IC17" s="123"/>
      <c r="ID17" s="150">
        <f>HF17+HG17+HH17+HI17</f>
        <v>717.348</v>
      </c>
      <c r="IE17" s="150">
        <f>HR17+HS17+HT17+HU17</f>
        <v>3031.433</v>
      </c>
    </row>
    <row r="18" spans="1:239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3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4"/>
        <v>9687</v>
      </c>
      <c r="AD18" s="49">
        <f t="shared" si="15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6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7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8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9"/>
        <v>1995.9000000000005</v>
      </c>
      <c r="CE18" s="17">
        <f t="shared" si="20"/>
        <v>416.8000000000002</v>
      </c>
      <c r="CF18" s="17">
        <f t="shared" si="21"/>
        <v>1098.7999999999984</v>
      </c>
      <c r="CG18" s="17">
        <f t="shared" si="22"/>
        <v>1035.4000000000005</v>
      </c>
      <c r="CH18" s="17">
        <f t="shared" si="23"/>
        <v>350.800000000002</v>
      </c>
      <c r="CI18" s="17">
        <f t="shared" si="24"/>
        <v>517.1999999999953</v>
      </c>
      <c r="CJ18" s="87">
        <f t="shared" si="25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12056.620499999999</v>
      </c>
      <c r="DG18" s="123">
        <v>1039.9</v>
      </c>
      <c r="DH18" s="123">
        <v>2819.3</v>
      </c>
      <c r="DI18" s="123">
        <v>4058.5</v>
      </c>
      <c r="DJ18" s="123">
        <v>4326.7</v>
      </c>
      <c r="DK18" s="123">
        <v>5020</v>
      </c>
      <c r="DL18" s="123">
        <v>5330.5</v>
      </c>
      <c r="DM18" s="123">
        <v>6650.2</v>
      </c>
      <c r="DN18" s="123">
        <v>7834.4</v>
      </c>
      <c r="DO18" s="123">
        <v>8684.3</v>
      </c>
      <c r="DP18" s="123">
        <v>9532.5</v>
      </c>
      <c r="DQ18" s="123">
        <v>11478.5</v>
      </c>
      <c r="DR18" s="123">
        <v>174</v>
      </c>
      <c r="DS18" s="123">
        <f t="shared" si="26"/>
        <v>11652.5</v>
      </c>
      <c r="DT18" s="123">
        <v>876</v>
      </c>
      <c r="DU18" s="123">
        <v>1026</v>
      </c>
      <c r="DV18" s="123">
        <v>1847</v>
      </c>
      <c r="DW18" s="123">
        <v>713</v>
      </c>
      <c r="DX18" s="123">
        <f>'[1]Feuil2'!$D$9</f>
        <v>1200.054</v>
      </c>
      <c r="DY18" s="123">
        <f>'[2]Feuil3'!$E$7+'[2]Feuil3'!$E$28</f>
        <v>747.03</v>
      </c>
      <c r="DZ18" s="123">
        <v>989</v>
      </c>
      <c r="EA18" s="123">
        <f>412+0.3</f>
        <v>412.3</v>
      </c>
      <c r="EB18" s="123">
        <v>437.272</v>
      </c>
      <c r="EC18" s="123">
        <v>1482.277</v>
      </c>
      <c r="ED18" s="123">
        <v>1281</v>
      </c>
      <c r="EE18" s="123">
        <v>910</v>
      </c>
      <c r="EF18" s="150">
        <f t="shared" si="27"/>
        <v>11920.933</v>
      </c>
      <c r="EG18" s="123">
        <v>1322</v>
      </c>
      <c r="EH18" s="123">
        <v>1301</v>
      </c>
      <c r="EI18" s="123">
        <v>1362</v>
      </c>
      <c r="EJ18" s="123">
        <v>3152.028</v>
      </c>
      <c r="EK18" s="123">
        <v>627.5</v>
      </c>
      <c r="EL18" s="123">
        <v>406.7</v>
      </c>
      <c r="EM18" s="123">
        <v>935</v>
      </c>
      <c r="EN18" s="123">
        <v>1890.7</v>
      </c>
      <c r="EO18" s="123">
        <v>1810.976</v>
      </c>
      <c r="EP18" s="123">
        <v>419.348</v>
      </c>
      <c r="EQ18" s="123">
        <f>2410+20.2</f>
        <v>2430.2</v>
      </c>
      <c r="ER18" s="123">
        <v>3283</v>
      </c>
      <c r="ES18" s="123">
        <f aca="true" t="shared" si="28" ref="ES18:ES28">SUM(EG18:ER18)</f>
        <v>18940.452</v>
      </c>
      <c r="ET18" s="123">
        <v>1812.686</v>
      </c>
      <c r="EU18" s="123">
        <v>1383.29</v>
      </c>
      <c r="EV18" s="123">
        <f>'[4]IV5-IV6'!$D$10</f>
        <v>1361.785</v>
      </c>
      <c r="EW18" s="123">
        <f>874.02+0.24</f>
        <v>874.26</v>
      </c>
      <c r="EX18" s="123">
        <v>1011</v>
      </c>
      <c r="EY18" s="123">
        <v>1984.7</v>
      </c>
      <c r="EZ18" s="123">
        <v>1822.308</v>
      </c>
      <c r="FA18" s="123">
        <v>1120.665</v>
      </c>
      <c r="FB18" s="123">
        <v>2055.3</v>
      </c>
      <c r="FC18" s="123">
        <v>1806.483</v>
      </c>
      <c r="FD18" s="123">
        <v>1135.515</v>
      </c>
      <c r="FE18" s="123">
        <v>2824.732</v>
      </c>
      <c r="FF18" s="123">
        <f aca="true" t="shared" si="29" ref="FF18:FF28">SUM(ET18:FE18)</f>
        <v>19192.724</v>
      </c>
      <c r="FG18" s="123">
        <v>641.091</v>
      </c>
      <c r="FH18" s="123">
        <v>1627.121</v>
      </c>
      <c r="FI18" s="123">
        <v>818.8380000000001</v>
      </c>
      <c r="FJ18" s="123">
        <f>'[5]IV5-IV6'!$C$47</f>
        <v>4668.262</v>
      </c>
      <c r="FK18" s="123">
        <v>748.826</v>
      </c>
      <c r="FL18" s="123">
        <f>964.9+2</f>
        <v>966.9</v>
      </c>
      <c r="FM18" s="123">
        <v>486.495</v>
      </c>
      <c r="FN18" s="123">
        <v>1231.737</v>
      </c>
      <c r="FO18" s="123">
        <v>529.562</v>
      </c>
      <c r="FP18" s="123">
        <v>557.6</v>
      </c>
      <c r="FQ18" s="123">
        <v>2486.277</v>
      </c>
      <c r="FR18" s="123">
        <v>351.6</v>
      </c>
      <c r="FS18" s="123">
        <f aca="true" t="shared" si="30" ref="FS18:FS28">+FG18+FH18+FI18+FJ18+FK18+FL18+FM18+FN18+FO18+FP18+FQ18+FR18</f>
        <v>15114.309000000001</v>
      </c>
      <c r="FT18" s="123">
        <v>1627.121</v>
      </c>
      <c r="FU18" s="123">
        <v>992.118</v>
      </c>
      <c r="FV18" s="123">
        <v>1070.108</v>
      </c>
      <c r="FW18" s="123">
        <v>411.31</v>
      </c>
      <c r="FX18" s="123">
        <v>851.183</v>
      </c>
      <c r="FY18" s="123">
        <v>481.804</v>
      </c>
      <c r="FZ18" s="123">
        <v>300.488</v>
      </c>
      <c r="GA18" s="123">
        <v>347.619</v>
      </c>
      <c r="GB18" s="123">
        <v>927.791</v>
      </c>
      <c r="GC18" s="123">
        <v>752.509</v>
      </c>
      <c r="GD18" s="123">
        <v>510.752</v>
      </c>
      <c r="GE18" s="123">
        <v>822.239</v>
      </c>
      <c r="GF18" s="123">
        <v>1675.176</v>
      </c>
      <c r="GG18" s="123">
        <f aca="true" t="shared" si="31" ref="GG18:GG28">SUM(FU18:GF18)</f>
        <v>9143.097</v>
      </c>
      <c r="GH18" s="123">
        <v>1285.263</v>
      </c>
      <c r="GI18" s="123">
        <v>1199.937</v>
      </c>
      <c r="GJ18" s="123">
        <v>2181.773</v>
      </c>
      <c r="GK18" s="123">
        <v>1446.803</v>
      </c>
      <c r="GL18" s="123">
        <v>1254.887</v>
      </c>
      <c r="GM18" s="123">
        <v>1386.121</v>
      </c>
      <c r="GN18" s="123">
        <v>1527.509</v>
      </c>
      <c r="GO18" s="123">
        <v>1426.395</v>
      </c>
      <c r="GP18" s="123">
        <v>410.633</v>
      </c>
      <c r="GQ18" s="123">
        <v>815.907</v>
      </c>
      <c r="GR18" s="123">
        <v>458.173</v>
      </c>
      <c r="GS18" s="123">
        <v>789.251</v>
      </c>
      <c r="GT18" s="123">
        <v>2110.738</v>
      </c>
      <c r="GU18" s="123">
        <v>238.869</v>
      </c>
      <c r="GV18" s="123">
        <v>911.267</v>
      </c>
      <c r="GW18" s="123">
        <v>268.962</v>
      </c>
      <c r="GX18" s="123">
        <v>1563.346</v>
      </c>
      <c r="GY18" s="123">
        <v>2406.449</v>
      </c>
      <c r="GZ18" s="123">
        <v>277.958</v>
      </c>
      <c r="HA18" s="123">
        <v>791.118</v>
      </c>
      <c r="HB18" s="123">
        <v>488.799</v>
      </c>
      <c r="HC18" s="123">
        <v>932.153</v>
      </c>
      <c r="HD18" s="123">
        <v>1764.654</v>
      </c>
      <c r="HE18" s="123">
        <v>305.894</v>
      </c>
      <c r="HF18" s="123">
        <v>2357.209</v>
      </c>
      <c r="HG18" s="123">
        <v>1223.646</v>
      </c>
      <c r="HH18" s="123">
        <v>414.445</v>
      </c>
      <c r="HI18" s="123">
        <v>1110.977</v>
      </c>
      <c r="HJ18" s="123">
        <v>1040.224</v>
      </c>
      <c r="HK18" s="123">
        <v>305.915</v>
      </c>
      <c r="HL18" s="123">
        <v>206.891</v>
      </c>
      <c r="HM18" s="123">
        <v>427.938</v>
      </c>
      <c r="HN18" s="123">
        <v>762.6895</v>
      </c>
      <c r="HO18" s="123">
        <v>1146.785</v>
      </c>
      <c r="HP18" s="123">
        <v>650.2729999999999</v>
      </c>
      <c r="HQ18" s="123">
        <v>2409.628</v>
      </c>
      <c r="HR18" s="123">
        <v>822.752</v>
      </c>
      <c r="HS18" s="123">
        <v>114.725</v>
      </c>
      <c r="HT18" s="123">
        <v>300.102</v>
      </c>
      <c r="HU18" s="123">
        <v>1280.918</v>
      </c>
      <c r="HV18" s="123"/>
      <c r="HW18" s="123"/>
      <c r="HX18" s="123"/>
      <c r="HY18" s="123"/>
      <c r="HZ18" s="123"/>
      <c r="IA18" s="123"/>
      <c r="IB18" s="123"/>
      <c r="IC18" s="123"/>
      <c r="ID18" s="150">
        <f aca="true" t="shared" si="32" ref="ID18:ID28">HF18+HG18+HH18+HI18</f>
        <v>5106.277</v>
      </c>
      <c r="IE18" s="150">
        <f aca="true" t="shared" si="33" ref="IE18:IE28">HR18+HS18+HT18+HU18</f>
        <v>2518.497</v>
      </c>
    </row>
    <row r="19" spans="1:239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3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4"/>
        <v>266</v>
      </c>
      <c r="AD19" s="49">
        <f t="shared" si="15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6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7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8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9"/>
        <v>5.800000000000033</v>
      </c>
      <c r="CE19" s="17">
        <f t="shared" si="20"/>
        <v>50.40000000000006</v>
      </c>
      <c r="CF19" s="17">
        <f t="shared" si="21"/>
        <v>50.89999999999995</v>
      </c>
      <c r="CG19" s="17">
        <f t="shared" si="22"/>
        <v>18.20000000000001</v>
      </c>
      <c r="CH19" s="17">
        <f t="shared" si="23"/>
        <v>79.79999999999993</v>
      </c>
      <c r="CI19" s="17">
        <f t="shared" si="24"/>
        <v>1.5000000000000782</v>
      </c>
      <c r="CJ19" s="87">
        <f t="shared" si="25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939.7950000000001</v>
      </c>
      <c r="DG19" s="123">
        <v>3.3</v>
      </c>
      <c r="DH19" s="123">
        <v>59.5</v>
      </c>
      <c r="DI19" s="123">
        <v>67.4</v>
      </c>
      <c r="DJ19" s="123">
        <v>82.1</v>
      </c>
      <c r="DK19" s="123">
        <v>93</v>
      </c>
      <c r="DL19" s="123">
        <v>211.8</v>
      </c>
      <c r="DM19" s="123">
        <v>242.8</v>
      </c>
      <c r="DN19" s="123">
        <v>289.7</v>
      </c>
      <c r="DO19" s="123">
        <v>789.8</v>
      </c>
      <c r="DP19" s="123">
        <v>830.8</v>
      </c>
      <c r="DQ19" s="123">
        <v>953.8</v>
      </c>
      <c r="DR19" s="123">
        <v>0</v>
      </c>
      <c r="DS19" s="123">
        <f t="shared" si="26"/>
        <v>953.8</v>
      </c>
      <c r="DT19" s="123" t="s">
        <v>36</v>
      </c>
      <c r="DU19" s="123">
        <v>6</v>
      </c>
      <c r="DV19" s="123">
        <v>2</v>
      </c>
      <c r="DW19" s="123" t="s">
        <v>86</v>
      </c>
      <c r="DX19" s="123">
        <f>'[1]Feuil2'!$D$13</f>
        <v>23.295</v>
      </c>
      <c r="DY19" s="123">
        <f>'[2]Feuil3'!$E$13</f>
        <v>2.886</v>
      </c>
      <c r="DZ19" s="123">
        <v>14</v>
      </c>
      <c r="EA19" s="123">
        <v>25</v>
      </c>
      <c r="EB19" s="123">
        <v>14.743</v>
      </c>
      <c r="EC19" s="123">
        <v>27.927</v>
      </c>
      <c r="ED19" s="123">
        <v>26</v>
      </c>
      <c r="EE19" s="123">
        <v>79</v>
      </c>
      <c r="EF19" s="150">
        <f t="shared" si="27"/>
        <v>220.851</v>
      </c>
      <c r="EG19" s="123">
        <v>149</v>
      </c>
      <c r="EH19" s="123">
        <v>30</v>
      </c>
      <c r="EI19" s="123">
        <v>3</v>
      </c>
      <c r="EJ19" s="123">
        <v>0.372</v>
      </c>
      <c r="EK19" s="123">
        <v>61.6</v>
      </c>
      <c r="EL19" s="123">
        <v>815.4</v>
      </c>
      <c r="EM19" s="123">
        <v>125.5</v>
      </c>
      <c r="EN19" s="123">
        <v>43</v>
      </c>
      <c r="EO19" s="123">
        <v>20.507</v>
      </c>
      <c r="EP19" s="123">
        <v>262.195</v>
      </c>
      <c r="EQ19" s="123">
        <v>88.3</v>
      </c>
      <c r="ER19" s="151">
        <v>46.5</v>
      </c>
      <c r="ES19" s="123">
        <f t="shared" si="28"/>
        <v>1645.374</v>
      </c>
      <c r="ET19" s="123">
        <v>89.178</v>
      </c>
      <c r="EU19" s="123">
        <v>87.318</v>
      </c>
      <c r="EV19" s="123">
        <f>'[4]IV5-IV6'!$D$15</f>
        <v>2.722</v>
      </c>
      <c r="EW19" s="123">
        <v>127.66</v>
      </c>
      <c r="EX19" s="123">
        <v>8.5</v>
      </c>
      <c r="EY19" s="123">
        <v>18.5</v>
      </c>
      <c r="EZ19" s="123">
        <v>19.848</v>
      </c>
      <c r="FA19" s="123">
        <v>65.213</v>
      </c>
      <c r="FB19" s="123">
        <v>1.4</v>
      </c>
      <c r="FC19" s="123">
        <v>136.613</v>
      </c>
      <c r="FD19" s="123">
        <v>95.9</v>
      </c>
      <c r="FE19" s="123">
        <v>29.981</v>
      </c>
      <c r="FF19" s="123">
        <f t="shared" si="29"/>
        <v>682.833</v>
      </c>
      <c r="FG19" s="123">
        <v>20.267</v>
      </c>
      <c r="FH19" s="123">
        <v>11.177</v>
      </c>
      <c r="FI19" s="123">
        <v>111.218</v>
      </c>
      <c r="FJ19" s="123">
        <f>'[5]IV5-IV6'!$C$50</f>
        <v>71.839</v>
      </c>
      <c r="FK19" s="123">
        <v>24.968</v>
      </c>
      <c r="FL19" s="123">
        <v>95.7</v>
      </c>
      <c r="FM19" s="123">
        <v>129.803</v>
      </c>
      <c r="FN19" s="123">
        <v>28.948</v>
      </c>
      <c r="FO19" s="123">
        <v>22.63</v>
      </c>
      <c r="FP19" s="123">
        <v>93.6</v>
      </c>
      <c r="FQ19" s="123">
        <v>17.004</v>
      </c>
      <c r="FR19" s="123">
        <v>155.7</v>
      </c>
      <c r="FS19" s="123">
        <f t="shared" si="30"/>
        <v>782.854</v>
      </c>
      <c r="FT19" s="123">
        <v>11.177</v>
      </c>
      <c r="FU19" s="123">
        <v>29.166</v>
      </c>
      <c r="FV19" s="123">
        <v>80.877</v>
      </c>
      <c r="FW19" s="123">
        <v>289.414</v>
      </c>
      <c r="FX19" s="123">
        <v>22.779</v>
      </c>
      <c r="FY19" s="123">
        <v>37.787</v>
      </c>
      <c r="FZ19" s="123">
        <v>22.812</v>
      </c>
      <c r="GA19" s="123">
        <v>11.286</v>
      </c>
      <c r="GB19" s="123">
        <v>30.738</v>
      </c>
      <c r="GC19" s="123">
        <v>10.401</v>
      </c>
      <c r="GD19" s="123">
        <v>61.761</v>
      </c>
      <c r="GE19" s="123">
        <v>27.318</v>
      </c>
      <c r="GF19" s="123">
        <v>20.608</v>
      </c>
      <c r="GG19" s="123">
        <f t="shared" si="31"/>
        <v>644.9469999999998</v>
      </c>
      <c r="GH19" s="123">
        <v>24.937</v>
      </c>
      <c r="GI19" s="123">
        <v>6.256</v>
      </c>
      <c r="GJ19" s="123">
        <v>9.757</v>
      </c>
      <c r="GK19" s="123">
        <v>52.349</v>
      </c>
      <c r="GL19" s="123">
        <v>24.395</v>
      </c>
      <c r="GM19" s="123">
        <v>33.867</v>
      </c>
      <c r="GN19" s="123">
        <v>21.028</v>
      </c>
      <c r="GO19" s="123">
        <v>52.596</v>
      </c>
      <c r="GP19" s="123">
        <v>153.158</v>
      </c>
      <c r="GQ19" s="123">
        <v>23.461</v>
      </c>
      <c r="GR19" s="123">
        <v>136.91</v>
      </c>
      <c r="GS19" s="123">
        <v>25.015</v>
      </c>
      <c r="GT19" s="123">
        <v>16.276</v>
      </c>
      <c r="GU19" s="123">
        <v>32.693</v>
      </c>
      <c r="GV19" s="123">
        <v>26.115</v>
      </c>
      <c r="GW19" s="123">
        <v>4.704</v>
      </c>
      <c r="GX19" s="123">
        <v>104.161</v>
      </c>
      <c r="GY19" s="123">
        <v>205.709</v>
      </c>
      <c r="GZ19" s="123">
        <v>34.629</v>
      </c>
      <c r="HA19" s="123">
        <v>38.184</v>
      </c>
      <c r="HB19" s="123">
        <v>178.677</v>
      </c>
      <c r="HC19" s="123">
        <v>88.981</v>
      </c>
      <c r="HD19" s="123">
        <v>258.002</v>
      </c>
      <c r="HE19" s="123">
        <v>6.978</v>
      </c>
      <c r="HF19" s="123">
        <v>15.605</v>
      </c>
      <c r="HG19" s="123">
        <v>1.869</v>
      </c>
      <c r="HH19" s="123">
        <v>14.075</v>
      </c>
      <c r="HI19" s="123">
        <v>72.932</v>
      </c>
      <c r="HJ19" s="123">
        <v>118.039</v>
      </c>
      <c r="HK19" s="123">
        <v>3.429</v>
      </c>
      <c r="HL19" s="123">
        <v>110.31</v>
      </c>
      <c r="HM19" s="123">
        <v>59.958</v>
      </c>
      <c r="HN19" s="123">
        <v>349.184</v>
      </c>
      <c r="HO19" s="123">
        <v>47.675</v>
      </c>
      <c r="HP19" s="123">
        <v>4.099</v>
      </c>
      <c r="HQ19" s="123">
        <v>142.62</v>
      </c>
      <c r="HR19" s="123">
        <v>48.923</v>
      </c>
      <c r="HS19" s="123">
        <v>33.558</v>
      </c>
      <c r="HT19" s="123">
        <v>24.669</v>
      </c>
      <c r="HU19" s="123">
        <v>104.911</v>
      </c>
      <c r="HV19" s="123"/>
      <c r="HW19" s="123"/>
      <c r="HX19" s="123"/>
      <c r="HY19" s="123"/>
      <c r="HZ19" s="123"/>
      <c r="IA19" s="123"/>
      <c r="IB19" s="123"/>
      <c r="IC19" s="123"/>
      <c r="ID19" s="150">
        <f t="shared" si="32"/>
        <v>104.481</v>
      </c>
      <c r="IE19" s="150">
        <f t="shared" si="33"/>
        <v>212.06099999999998</v>
      </c>
    </row>
    <row r="20" spans="1:239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3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4"/>
        <v>267</v>
      </c>
      <c r="AD20" s="49">
        <f t="shared" si="15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6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102</v>
      </c>
      <c r="BH20" s="17">
        <v>23</v>
      </c>
      <c r="BI20" s="17" t="s">
        <v>36</v>
      </c>
      <c r="BJ20" s="85">
        <f t="shared" si="17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8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9"/>
        <v>-2.6645352591003757E-15</v>
      </c>
      <c r="CE20" s="17">
        <f t="shared" si="20"/>
        <v>5.900000000000003</v>
      </c>
      <c r="CF20" s="17">
        <f t="shared" si="21"/>
        <v>0.09999999999999165</v>
      </c>
      <c r="CG20" s="17">
        <f t="shared" si="22"/>
        <v>39.59999999999998</v>
      </c>
      <c r="CH20" s="17">
        <f t="shared" si="23"/>
        <v>221.40000000000012</v>
      </c>
      <c r="CI20" s="17">
        <f t="shared" si="24"/>
        <v>7.6999999999998865</v>
      </c>
      <c r="CJ20" s="87">
        <f t="shared" si="25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123.833</v>
      </c>
      <c r="DG20" s="123">
        <v>51</v>
      </c>
      <c r="DH20" s="123">
        <v>63.2</v>
      </c>
      <c r="DI20" s="123">
        <v>81.5</v>
      </c>
      <c r="DJ20" s="123">
        <v>99</v>
      </c>
      <c r="DK20" s="123">
        <v>140</v>
      </c>
      <c r="DL20" s="123">
        <v>157.8</v>
      </c>
      <c r="DM20" s="123">
        <v>157.9</v>
      </c>
      <c r="DN20" s="123">
        <v>158.2</v>
      </c>
      <c r="DO20" s="123">
        <v>180</v>
      </c>
      <c r="DP20" s="123">
        <v>180.5</v>
      </c>
      <c r="DQ20" s="123">
        <v>192.5</v>
      </c>
      <c r="DR20" s="123">
        <v>23</v>
      </c>
      <c r="DS20" s="123">
        <f t="shared" si="26"/>
        <v>215.5</v>
      </c>
      <c r="DT20" s="123">
        <v>1</v>
      </c>
      <c r="DU20" s="123">
        <v>29</v>
      </c>
      <c r="DV20" s="123">
        <v>24</v>
      </c>
      <c r="DW20" s="123">
        <v>2</v>
      </c>
      <c r="DX20" s="123">
        <f>'[1]Feuil2'!$D$16</f>
        <v>0.11</v>
      </c>
      <c r="DY20" s="123">
        <v>0</v>
      </c>
      <c r="DZ20" s="123">
        <v>0</v>
      </c>
      <c r="EA20" s="123">
        <v>0</v>
      </c>
      <c r="EB20" s="123">
        <v>5.614</v>
      </c>
      <c r="EC20" s="123">
        <v>2.35</v>
      </c>
      <c r="ED20" s="123">
        <v>2.4</v>
      </c>
      <c r="EE20" s="123">
        <v>34.3</v>
      </c>
      <c r="EF20" s="150">
        <f t="shared" si="27"/>
        <v>100.774</v>
      </c>
      <c r="EG20" s="123">
        <v>74</v>
      </c>
      <c r="EH20" s="123">
        <v>42</v>
      </c>
      <c r="EI20" s="123">
        <v>0.1</v>
      </c>
      <c r="EJ20" s="123">
        <v>5.2</v>
      </c>
      <c r="EK20" s="123">
        <v>15.4</v>
      </c>
      <c r="EL20" s="123">
        <v>68.7</v>
      </c>
      <c r="EM20" s="123">
        <v>21.3</v>
      </c>
      <c r="EN20" s="123">
        <v>15.6</v>
      </c>
      <c r="EO20" s="123">
        <v>16.2</v>
      </c>
      <c r="EP20" s="123">
        <v>43.122</v>
      </c>
      <c r="EQ20" s="123">
        <v>34.6</v>
      </c>
      <c r="ER20" s="123">
        <v>0.1</v>
      </c>
      <c r="ES20" s="123">
        <f t="shared" si="28"/>
        <v>336.32200000000006</v>
      </c>
      <c r="ET20" s="123">
        <v>26.46</v>
      </c>
      <c r="EU20" s="123" t="s">
        <v>86</v>
      </c>
      <c r="EV20" s="123">
        <f>'[4]IV5-IV6'!$D$19</f>
        <v>0.148</v>
      </c>
      <c r="EW20" s="123">
        <v>25.19</v>
      </c>
      <c r="EX20" s="123">
        <v>13.28</v>
      </c>
      <c r="EY20" s="123">
        <v>23.8</v>
      </c>
      <c r="EZ20" s="123">
        <v>25.06</v>
      </c>
      <c r="FA20" s="123">
        <v>8.231</v>
      </c>
      <c r="FB20" s="123">
        <v>20.3</v>
      </c>
      <c r="FC20" s="123">
        <v>25.746</v>
      </c>
      <c r="FD20" s="123">
        <v>130.32</v>
      </c>
      <c r="FE20" s="123">
        <v>0.243</v>
      </c>
      <c r="FF20" s="123">
        <f t="shared" si="29"/>
        <v>298.77799999999996</v>
      </c>
      <c r="FG20" s="123">
        <v>2.4</v>
      </c>
      <c r="FH20" s="123">
        <v>16.8</v>
      </c>
      <c r="FI20" s="123">
        <v>8.928</v>
      </c>
      <c r="FJ20" s="123">
        <f>'[5]IV5-IV6'!$C$51</f>
        <v>4.103</v>
      </c>
      <c r="FK20" s="123">
        <v>0.954</v>
      </c>
      <c r="FL20" s="123">
        <v>60.7</v>
      </c>
      <c r="FM20" s="123">
        <v>0.219</v>
      </c>
      <c r="FN20" s="123">
        <v>0</v>
      </c>
      <c r="FO20" s="123">
        <v>7.55</v>
      </c>
      <c r="FP20" s="123">
        <v>40.7</v>
      </c>
      <c r="FQ20" s="123">
        <v>15.638</v>
      </c>
      <c r="FR20" s="123">
        <v>0</v>
      </c>
      <c r="FS20" s="123">
        <f t="shared" si="30"/>
        <v>157.992</v>
      </c>
      <c r="FT20" s="123">
        <v>16.8</v>
      </c>
      <c r="FU20" s="123">
        <v>0.275</v>
      </c>
      <c r="FV20" s="123">
        <v>0.028</v>
      </c>
      <c r="FW20" s="123">
        <v>0</v>
      </c>
      <c r="FX20" s="123">
        <v>4.128</v>
      </c>
      <c r="FY20" s="123">
        <v>40.475</v>
      </c>
      <c r="FZ20" s="123">
        <v>23.886</v>
      </c>
      <c r="GA20" s="123">
        <v>1.708</v>
      </c>
      <c r="GB20" s="123">
        <v>18.088</v>
      </c>
      <c r="GC20" s="123">
        <v>2.347</v>
      </c>
      <c r="GD20" s="123">
        <v>14.191</v>
      </c>
      <c r="GE20" s="123">
        <v>0.518</v>
      </c>
      <c r="GF20" s="123">
        <v>27</v>
      </c>
      <c r="GG20" s="123">
        <f t="shared" si="31"/>
        <v>132.644</v>
      </c>
      <c r="GH20" s="123">
        <v>18.555</v>
      </c>
      <c r="GI20" s="123">
        <v>208.176</v>
      </c>
      <c r="GJ20" s="123">
        <v>0.134</v>
      </c>
      <c r="GK20" s="123">
        <v>0</v>
      </c>
      <c r="GL20" s="123">
        <v>0.002</v>
      </c>
      <c r="GM20" s="123">
        <v>19.699</v>
      </c>
      <c r="GN20" s="123">
        <v>6</v>
      </c>
      <c r="GO20" s="123">
        <v>0.506</v>
      </c>
      <c r="GP20" s="123"/>
      <c r="GQ20" s="123"/>
      <c r="GR20" s="123">
        <v>0.006</v>
      </c>
      <c r="GS20" s="123">
        <v>10.684</v>
      </c>
      <c r="GT20" s="123">
        <v>0.588</v>
      </c>
      <c r="GU20" s="123">
        <v>1.892</v>
      </c>
      <c r="GV20" s="123">
        <v>8.667</v>
      </c>
      <c r="GW20" s="123">
        <v>2.913</v>
      </c>
      <c r="GX20" s="123">
        <v>0.21</v>
      </c>
      <c r="GY20" s="123">
        <v>0.688</v>
      </c>
      <c r="GZ20" s="123">
        <v>24.595</v>
      </c>
      <c r="HA20" s="123"/>
      <c r="HB20" s="123">
        <v>34.38</v>
      </c>
      <c r="HC20" s="123">
        <v>9.496</v>
      </c>
      <c r="HD20" s="123">
        <v>0.29</v>
      </c>
      <c r="HE20" s="123">
        <v>13.834</v>
      </c>
      <c r="HF20" s="123">
        <v>20.117</v>
      </c>
      <c r="HG20" s="123">
        <v>8.45</v>
      </c>
      <c r="HH20" s="123">
        <v>14.242</v>
      </c>
      <c r="HI20" s="123">
        <v>0.109</v>
      </c>
      <c r="HJ20" s="123">
        <v>17.822</v>
      </c>
      <c r="HK20" s="123">
        <v>7.142</v>
      </c>
      <c r="HL20" s="123">
        <v>20.418</v>
      </c>
      <c r="HM20" s="123">
        <v>0.022</v>
      </c>
      <c r="HN20" s="123"/>
      <c r="HO20" s="123">
        <v>0.107</v>
      </c>
      <c r="HP20" s="123">
        <v>21.546</v>
      </c>
      <c r="HQ20" s="123">
        <v>13.858</v>
      </c>
      <c r="HR20" s="123">
        <v>14.144</v>
      </c>
      <c r="HS20" s="123">
        <v>5.2</v>
      </c>
      <c r="HT20" s="123">
        <v>22.618</v>
      </c>
      <c r="HU20" s="123">
        <v>32.646</v>
      </c>
      <c r="HV20" s="123"/>
      <c r="HW20" s="123"/>
      <c r="HX20" s="123"/>
      <c r="HY20" s="123"/>
      <c r="HZ20" s="123"/>
      <c r="IA20" s="123"/>
      <c r="IB20" s="123"/>
      <c r="IC20" s="123"/>
      <c r="ID20" s="150">
        <f t="shared" si="32"/>
        <v>42.918</v>
      </c>
      <c r="IE20" s="150">
        <f t="shared" si="33"/>
        <v>74.608</v>
      </c>
    </row>
    <row r="21" spans="1:239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3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4"/>
        <v>2195</v>
      </c>
      <c r="AD21" s="49">
        <f t="shared" si="15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6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7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8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9"/>
        <v>213.29999999999927</v>
      </c>
      <c r="CE21" s="17">
        <f t="shared" si="20"/>
        <v>750.3999999999996</v>
      </c>
      <c r="CF21" s="17">
        <f t="shared" si="21"/>
        <v>157.60000000000036</v>
      </c>
      <c r="CG21" s="17">
        <f t="shared" si="22"/>
        <v>547.3999999999996</v>
      </c>
      <c r="CH21" s="17">
        <f t="shared" si="23"/>
        <v>874.4000000000015</v>
      </c>
      <c r="CI21" s="17">
        <f t="shared" si="24"/>
        <v>540</v>
      </c>
      <c r="CJ21" s="87">
        <f t="shared" si="25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7852.718999999999</v>
      </c>
      <c r="DG21" s="123">
        <v>240.4</v>
      </c>
      <c r="DH21" s="123">
        <v>773.7</v>
      </c>
      <c r="DI21" s="123">
        <v>940.1</v>
      </c>
      <c r="DJ21" s="123">
        <v>1180.4</v>
      </c>
      <c r="DK21" s="123">
        <v>1431</v>
      </c>
      <c r="DL21" s="123">
        <v>1514.1</v>
      </c>
      <c r="DM21" s="123">
        <v>1575.3</v>
      </c>
      <c r="DN21" s="123">
        <v>1732.2</v>
      </c>
      <c r="DO21" s="123">
        <v>1859.4</v>
      </c>
      <c r="DP21" s="123">
        <v>1919</v>
      </c>
      <c r="DQ21" s="123">
        <v>2142</v>
      </c>
      <c r="DR21" s="123">
        <v>343</v>
      </c>
      <c r="DS21" s="123">
        <f t="shared" si="26"/>
        <v>2485</v>
      </c>
      <c r="DT21" s="123">
        <v>165</v>
      </c>
      <c r="DU21" s="123">
        <v>148</v>
      </c>
      <c r="DV21" s="123">
        <v>202</v>
      </c>
      <c r="DW21" s="123">
        <v>169</v>
      </c>
      <c r="DX21" s="123">
        <f>'[1]Feuil2'!$D$18</f>
        <v>12.66</v>
      </c>
      <c r="DY21" s="123">
        <f>'[2]Feuil3'!$E$17</f>
        <v>155.46</v>
      </c>
      <c r="DZ21" s="123">
        <v>90</v>
      </c>
      <c r="EA21" s="123">
        <v>109</v>
      </c>
      <c r="EB21" s="123">
        <v>290.092</v>
      </c>
      <c r="EC21" s="123">
        <v>259.378</v>
      </c>
      <c r="ED21" s="123">
        <v>209</v>
      </c>
      <c r="EE21" s="123">
        <v>609</v>
      </c>
      <c r="EF21" s="150">
        <f t="shared" si="27"/>
        <v>2418.59</v>
      </c>
      <c r="EG21" s="123">
        <v>194</v>
      </c>
      <c r="EH21" s="123">
        <v>116</v>
      </c>
      <c r="EI21" s="123">
        <v>96</v>
      </c>
      <c r="EJ21" s="123">
        <v>250.209</v>
      </c>
      <c r="EK21" s="123">
        <v>277.3</v>
      </c>
      <c r="EL21" s="123">
        <v>1030.3</v>
      </c>
      <c r="EM21" s="123">
        <v>786.5</v>
      </c>
      <c r="EN21" s="123">
        <v>958.5</v>
      </c>
      <c r="EO21" s="123">
        <v>71.819</v>
      </c>
      <c r="EP21" s="123">
        <v>319.141</v>
      </c>
      <c r="EQ21" s="123">
        <v>280.6</v>
      </c>
      <c r="ER21" s="123">
        <f>337.1+6</f>
        <v>343.1</v>
      </c>
      <c r="ES21" s="123">
        <f t="shared" si="28"/>
        <v>4723.469000000001</v>
      </c>
      <c r="ET21" s="123">
        <v>1362.781</v>
      </c>
      <c r="EU21" s="123">
        <v>275.779</v>
      </c>
      <c r="EV21" s="123">
        <f>'[4]IV5-IV6'!$D$23</f>
        <v>95.683</v>
      </c>
      <c r="EW21" s="123">
        <v>3651.68</v>
      </c>
      <c r="EX21" s="123">
        <v>747.217</v>
      </c>
      <c r="EY21" s="123">
        <v>200.5</v>
      </c>
      <c r="EZ21" s="123">
        <v>124.417</v>
      </c>
      <c r="FA21" s="123">
        <v>119.198</v>
      </c>
      <c r="FB21" s="123">
        <v>184.5</v>
      </c>
      <c r="FC21" s="123">
        <v>128.563</v>
      </c>
      <c r="FD21" s="123">
        <v>140.817</v>
      </c>
      <c r="FE21" s="123">
        <v>254.042</v>
      </c>
      <c r="FF21" s="123">
        <f t="shared" si="29"/>
        <v>7285.177000000001</v>
      </c>
      <c r="FG21" s="123">
        <v>167.991</v>
      </c>
      <c r="FH21" s="123">
        <v>146.844</v>
      </c>
      <c r="FI21" s="123">
        <v>180.786</v>
      </c>
      <c r="FJ21" s="123">
        <f>'[5]IV5-IV6'!$C$53</f>
        <v>1170.537</v>
      </c>
      <c r="FK21" s="123">
        <v>87.367</v>
      </c>
      <c r="FL21" s="123">
        <v>391</v>
      </c>
      <c r="FM21" s="123">
        <v>186.229</v>
      </c>
      <c r="FN21" s="123">
        <v>248.303</v>
      </c>
      <c r="FO21" s="123">
        <v>104.082</v>
      </c>
      <c r="FP21" s="123">
        <v>174.3</v>
      </c>
      <c r="FQ21" s="123">
        <v>204.762</v>
      </c>
      <c r="FR21" s="123">
        <v>206.6</v>
      </c>
      <c r="FS21" s="123">
        <f t="shared" si="30"/>
        <v>3268.801</v>
      </c>
      <c r="FT21" s="123">
        <v>146.844</v>
      </c>
      <c r="FU21" s="123">
        <v>495.591</v>
      </c>
      <c r="FV21" s="123">
        <v>488.296</v>
      </c>
      <c r="FW21" s="123">
        <v>590.638</v>
      </c>
      <c r="FX21" s="123">
        <v>127.11</v>
      </c>
      <c r="FY21" s="123">
        <v>1087.308</v>
      </c>
      <c r="FZ21" s="123">
        <v>637.919</v>
      </c>
      <c r="GA21" s="123">
        <v>202.929</v>
      </c>
      <c r="GB21" s="123">
        <v>749.917</v>
      </c>
      <c r="GC21" s="123">
        <v>2154.533</v>
      </c>
      <c r="GD21" s="123">
        <v>587.651</v>
      </c>
      <c r="GE21" s="123">
        <v>769.997</v>
      </c>
      <c r="GF21" s="123">
        <v>237.795</v>
      </c>
      <c r="GG21" s="123">
        <f t="shared" si="31"/>
        <v>8129.684</v>
      </c>
      <c r="GH21" s="123">
        <v>177.636</v>
      </c>
      <c r="GI21" s="123">
        <v>675.714</v>
      </c>
      <c r="GJ21" s="123">
        <v>2401.958</v>
      </c>
      <c r="GK21" s="123">
        <v>667.081</v>
      </c>
      <c r="GL21" s="123">
        <v>651.773</v>
      </c>
      <c r="GM21" s="123">
        <v>181.838</v>
      </c>
      <c r="GN21" s="123">
        <v>163.637</v>
      </c>
      <c r="GO21" s="123">
        <v>594.593</v>
      </c>
      <c r="GP21" s="123">
        <v>1427.192</v>
      </c>
      <c r="GQ21" s="123">
        <v>1269.874</v>
      </c>
      <c r="GR21" s="123">
        <v>764.942</v>
      </c>
      <c r="GS21" s="123">
        <v>737.658</v>
      </c>
      <c r="GT21" s="123">
        <v>114.316</v>
      </c>
      <c r="GU21" s="123">
        <v>252.148</v>
      </c>
      <c r="GV21" s="123">
        <v>698.383</v>
      </c>
      <c r="GW21" s="123">
        <v>771.732</v>
      </c>
      <c r="GX21" s="123">
        <v>258.552</v>
      </c>
      <c r="GY21" s="123">
        <v>1075.253</v>
      </c>
      <c r="GZ21" s="123">
        <v>662.386</v>
      </c>
      <c r="HA21" s="123">
        <v>1209.937</v>
      </c>
      <c r="HB21" s="123">
        <v>247.77</v>
      </c>
      <c r="HC21" s="123">
        <v>912.097</v>
      </c>
      <c r="HD21" s="123">
        <v>771.601</v>
      </c>
      <c r="HE21" s="123">
        <v>676.908</v>
      </c>
      <c r="HF21" s="123">
        <v>223.602</v>
      </c>
      <c r="HG21" s="123">
        <v>766.829</v>
      </c>
      <c r="HH21" s="123">
        <v>654.315</v>
      </c>
      <c r="HI21" s="123">
        <v>1067.822</v>
      </c>
      <c r="HJ21" s="123">
        <v>1159.834</v>
      </c>
      <c r="HK21" s="123">
        <v>592.793</v>
      </c>
      <c r="HL21" s="123">
        <v>597.339</v>
      </c>
      <c r="HM21" s="123">
        <v>1199.712</v>
      </c>
      <c r="HN21" s="123">
        <v>729.042</v>
      </c>
      <c r="HO21" s="123">
        <v>307.985</v>
      </c>
      <c r="HP21" s="123">
        <v>330.955</v>
      </c>
      <c r="HQ21" s="123">
        <v>222.491</v>
      </c>
      <c r="HR21" s="123">
        <v>773.023</v>
      </c>
      <c r="HS21" s="123">
        <v>1224.287</v>
      </c>
      <c r="HT21" s="123">
        <v>750.303</v>
      </c>
      <c r="HU21" s="123">
        <v>139.449</v>
      </c>
      <c r="HV21" s="123"/>
      <c r="HW21" s="123"/>
      <c r="HX21" s="123"/>
      <c r="HY21" s="123"/>
      <c r="HZ21" s="123"/>
      <c r="IA21" s="123"/>
      <c r="IB21" s="123"/>
      <c r="IC21" s="123"/>
      <c r="ID21" s="150">
        <f t="shared" si="32"/>
        <v>2712.568</v>
      </c>
      <c r="IE21" s="150">
        <f t="shared" si="33"/>
        <v>2887.062</v>
      </c>
    </row>
    <row r="22" spans="1:239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3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4"/>
        <v>28</v>
      </c>
      <c r="AD22" s="49">
        <f t="shared" si="15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6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7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8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9"/>
        <v>-0.1</v>
      </c>
      <c r="CE22" s="17">
        <f t="shared" si="20"/>
        <v>0</v>
      </c>
      <c r="CF22" s="17">
        <f t="shared" si="21"/>
        <v>0</v>
      </c>
      <c r="CG22" s="17">
        <f t="shared" si="22"/>
        <v>2</v>
      </c>
      <c r="CH22" s="17">
        <f t="shared" si="23"/>
        <v>33.8</v>
      </c>
      <c r="CI22" s="17">
        <f t="shared" si="24"/>
        <v>0</v>
      </c>
      <c r="CJ22" s="87">
        <f t="shared" si="25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>
        <v>105.19800000000001</v>
      </c>
      <c r="DG22" s="123" t="s">
        <v>36</v>
      </c>
      <c r="DH22" s="123" t="s">
        <v>36</v>
      </c>
      <c r="DI22" s="123" t="s">
        <v>86</v>
      </c>
      <c r="DJ22" s="123" t="s">
        <v>86</v>
      </c>
      <c r="DK22" s="123">
        <v>5</v>
      </c>
      <c r="DL22" s="123">
        <v>5.5</v>
      </c>
      <c r="DM22" s="123">
        <v>5.5</v>
      </c>
      <c r="DN22" s="123">
        <v>5.6</v>
      </c>
      <c r="DO22" s="123">
        <v>43.5</v>
      </c>
      <c r="DP22" s="123">
        <v>43.6</v>
      </c>
      <c r="DQ22" s="123">
        <v>43.9</v>
      </c>
      <c r="DR22" s="123">
        <v>9</v>
      </c>
      <c r="DS22" s="123">
        <f t="shared" si="26"/>
        <v>52.9</v>
      </c>
      <c r="DT22" s="123" t="s">
        <v>36</v>
      </c>
      <c r="DU22" s="123"/>
      <c r="DV22" s="123">
        <v>2</v>
      </c>
      <c r="DW22" s="123" t="s">
        <v>36</v>
      </c>
      <c r="DX22" s="123">
        <f>'[1]Feuil2'!$D$19</f>
        <v>0.42</v>
      </c>
      <c r="DY22" s="123">
        <v>0</v>
      </c>
      <c r="DZ22" s="123">
        <v>0</v>
      </c>
      <c r="EA22" s="123">
        <v>0</v>
      </c>
      <c r="EB22" s="123">
        <v>0</v>
      </c>
      <c r="EC22" s="123">
        <v>14.025</v>
      </c>
      <c r="ED22" s="123">
        <v>6.4</v>
      </c>
      <c r="EE22" s="123"/>
      <c r="EF22" s="150">
        <f t="shared" si="27"/>
        <v>22.845</v>
      </c>
      <c r="EG22" s="123">
        <v>0</v>
      </c>
      <c r="EH22" s="123">
        <v>15</v>
      </c>
      <c r="EI22" s="123">
        <v>0</v>
      </c>
      <c r="EJ22" s="123">
        <v>0</v>
      </c>
      <c r="EK22" s="123"/>
      <c r="EL22" s="123"/>
      <c r="EM22" s="123"/>
      <c r="EN22" s="123">
        <v>0</v>
      </c>
      <c r="EO22" s="123">
        <v>0.195</v>
      </c>
      <c r="EP22" s="123">
        <v>2.762</v>
      </c>
      <c r="EQ22" s="123">
        <v>0.2</v>
      </c>
      <c r="ER22" s="123">
        <v>6.6</v>
      </c>
      <c r="ES22" s="123">
        <f t="shared" si="28"/>
        <v>24.756999999999998</v>
      </c>
      <c r="ET22" s="123">
        <v>22.3</v>
      </c>
      <c r="EU22" s="123">
        <v>1.14</v>
      </c>
      <c r="EV22" s="123">
        <v>0</v>
      </c>
      <c r="EW22" s="123"/>
      <c r="EX22" s="123"/>
      <c r="EY22" s="123">
        <v>7.2</v>
      </c>
      <c r="EZ22" s="123"/>
      <c r="FA22" s="123">
        <v>0</v>
      </c>
      <c r="FB22" s="123"/>
      <c r="FC22" s="123">
        <v>0</v>
      </c>
      <c r="FD22" s="123">
        <v>0</v>
      </c>
      <c r="FE22" s="123">
        <v>0</v>
      </c>
      <c r="FF22" s="123">
        <f t="shared" si="29"/>
        <v>30.64</v>
      </c>
      <c r="FG22" s="123" t="s">
        <v>36</v>
      </c>
      <c r="FH22" s="123">
        <v>17.2</v>
      </c>
      <c r="FI22" s="123">
        <v>0</v>
      </c>
      <c r="FJ22" s="123">
        <v>0</v>
      </c>
      <c r="FK22" s="123">
        <v>0</v>
      </c>
      <c r="FL22" s="123">
        <v>20.8</v>
      </c>
      <c r="FM22" s="123">
        <v>0</v>
      </c>
      <c r="FN22" s="123">
        <v>0.014</v>
      </c>
      <c r="FO22" s="123">
        <v>12</v>
      </c>
      <c r="FP22" s="123">
        <v>0</v>
      </c>
      <c r="FQ22" s="123">
        <v>17.49</v>
      </c>
      <c r="FR22" s="123">
        <v>4.4</v>
      </c>
      <c r="FS22" s="123">
        <f t="shared" si="30"/>
        <v>71.90400000000001</v>
      </c>
      <c r="FT22" s="123">
        <v>17.2</v>
      </c>
      <c r="FU22" s="123"/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0</v>
      </c>
      <c r="GB22" s="123">
        <v>3.2</v>
      </c>
      <c r="GC22" s="123">
        <v>0.036</v>
      </c>
      <c r="GD22" s="123"/>
      <c r="GE22" s="123"/>
      <c r="GF22" s="123">
        <v>1.839</v>
      </c>
      <c r="GG22" s="123">
        <f t="shared" si="31"/>
        <v>5.075</v>
      </c>
      <c r="GH22" s="123">
        <v>0.526</v>
      </c>
      <c r="GI22" s="123">
        <v>0</v>
      </c>
      <c r="GJ22" s="123"/>
      <c r="GK22" s="123">
        <v>12.537</v>
      </c>
      <c r="GL22" s="123"/>
      <c r="GM22" s="123"/>
      <c r="GN22" s="123">
        <v>1.193</v>
      </c>
      <c r="GO22" s="123"/>
      <c r="GP22" s="123">
        <v>21.949</v>
      </c>
      <c r="GQ22" s="123"/>
      <c r="GR22" s="123"/>
      <c r="GS22" s="123">
        <v>21.633</v>
      </c>
      <c r="GT22" s="123"/>
      <c r="GU22" s="123"/>
      <c r="GV22" s="123"/>
      <c r="GW22" s="123">
        <v>21.725</v>
      </c>
      <c r="GX22" s="123"/>
      <c r="GY22" s="123"/>
      <c r="GZ22" s="123"/>
      <c r="HA22" s="123">
        <v>20.641</v>
      </c>
      <c r="HB22" s="123">
        <v>17.94</v>
      </c>
      <c r="HC22" s="123"/>
      <c r="HD22" s="123"/>
      <c r="HE22" s="123"/>
      <c r="HF22" s="123">
        <v>21.76</v>
      </c>
      <c r="HG22" s="123">
        <v>0.18</v>
      </c>
      <c r="HH22" s="123"/>
      <c r="HI22" s="123"/>
      <c r="HJ22" s="123"/>
      <c r="HK22" s="123">
        <v>18.42</v>
      </c>
      <c r="HL22" s="123">
        <v>22.04</v>
      </c>
      <c r="HM22" s="123"/>
      <c r="HN22" s="123">
        <v>21.532</v>
      </c>
      <c r="HO22" s="123"/>
      <c r="HP22" s="123"/>
      <c r="HQ22" s="123">
        <v>21.266</v>
      </c>
      <c r="HR22" s="123"/>
      <c r="HS22" s="123">
        <v>0</v>
      </c>
      <c r="HT22" s="123">
        <v>0</v>
      </c>
      <c r="HU22" s="123">
        <v>2.138</v>
      </c>
      <c r="HV22" s="123"/>
      <c r="HW22" s="123"/>
      <c r="HX22" s="123"/>
      <c r="HY22" s="123"/>
      <c r="HZ22" s="123"/>
      <c r="IA22" s="123"/>
      <c r="IB22" s="123"/>
      <c r="IC22" s="123"/>
      <c r="ID22" s="150">
        <f t="shared" si="32"/>
        <v>21.94</v>
      </c>
      <c r="IE22" s="150">
        <f t="shared" si="33"/>
        <v>2.138</v>
      </c>
    </row>
    <row r="23" spans="1:239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3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4"/>
        <v>17</v>
      </c>
      <c r="AD23" s="49">
        <f t="shared" si="15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75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6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7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8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9"/>
        <v>0</v>
      </c>
      <c r="CE23" s="17">
        <f t="shared" si="20"/>
        <v>0</v>
      </c>
      <c r="CF23" s="17">
        <f t="shared" si="21"/>
        <v>0</v>
      </c>
      <c r="CG23" s="17">
        <f t="shared" si="22"/>
        <v>0</v>
      </c>
      <c r="CH23" s="17">
        <f t="shared" si="23"/>
        <v>0</v>
      </c>
      <c r="CI23" s="17">
        <f t="shared" si="24"/>
        <v>0</v>
      </c>
      <c r="CJ23" s="87">
        <f t="shared" si="25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>
        <v>19.644000000000002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 t="s">
        <v>36</v>
      </c>
      <c r="DR23" s="123"/>
      <c r="DS23" s="123" t="s">
        <v>36</v>
      </c>
      <c r="DT23" s="123" t="s">
        <v>36</v>
      </c>
      <c r="DU23" s="123"/>
      <c r="DV23" s="123">
        <v>0</v>
      </c>
      <c r="DW23" s="123" t="s">
        <v>36</v>
      </c>
      <c r="DX23" s="123" t="s">
        <v>36</v>
      </c>
      <c r="DY23" s="123">
        <v>0</v>
      </c>
      <c r="DZ23" s="123">
        <v>5</v>
      </c>
      <c r="EA23" s="123">
        <v>0</v>
      </c>
      <c r="EB23" s="123">
        <v>0</v>
      </c>
      <c r="EC23" s="123">
        <v>0</v>
      </c>
      <c r="ED23" s="123">
        <v>1.4</v>
      </c>
      <c r="EE23" s="123"/>
      <c r="EF23" s="150">
        <f t="shared" si="27"/>
        <v>6.4</v>
      </c>
      <c r="EG23" s="123">
        <v>0</v>
      </c>
      <c r="EH23" s="123"/>
      <c r="EI23" s="123">
        <v>0</v>
      </c>
      <c r="EJ23" s="123">
        <v>19.2</v>
      </c>
      <c r="EK23" s="123"/>
      <c r="EL23" s="123"/>
      <c r="EM23" s="123"/>
      <c r="EN23" s="123">
        <v>0</v>
      </c>
      <c r="EO23" s="123">
        <v>0</v>
      </c>
      <c r="EP23" s="123">
        <v>0</v>
      </c>
      <c r="EQ23" s="123"/>
      <c r="ER23" s="123">
        <v>0.8</v>
      </c>
      <c r="ES23" s="123">
        <f t="shared" si="28"/>
        <v>20</v>
      </c>
      <c r="ET23" s="123">
        <v>2.177</v>
      </c>
      <c r="EU23" s="123">
        <v>21.455</v>
      </c>
      <c r="EV23" s="123">
        <v>0</v>
      </c>
      <c r="EW23" s="123">
        <v>25.26</v>
      </c>
      <c r="EX23" s="123"/>
      <c r="EY23" s="123"/>
      <c r="EZ23" s="123"/>
      <c r="FA23" s="123">
        <v>0</v>
      </c>
      <c r="FB23" s="123">
        <v>0.025</v>
      </c>
      <c r="FC23" s="123">
        <v>0.831</v>
      </c>
      <c r="FD23" s="123">
        <v>0</v>
      </c>
      <c r="FE23" s="123">
        <v>0.285</v>
      </c>
      <c r="FF23" s="123">
        <f t="shared" si="29"/>
        <v>50.032999999999994</v>
      </c>
      <c r="FG23" s="123" t="s">
        <v>36</v>
      </c>
      <c r="FH23" s="123">
        <v>0</v>
      </c>
      <c r="FI23" s="123">
        <v>13.3</v>
      </c>
      <c r="FJ23" s="123">
        <v>0</v>
      </c>
      <c r="FK23" s="123">
        <v>0.01</v>
      </c>
      <c r="FL23" s="123">
        <v>0</v>
      </c>
      <c r="FM23" s="123">
        <v>0.15</v>
      </c>
      <c r="FN23" s="123">
        <v>0</v>
      </c>
      <c r="FO23" s="123">
        <v>0</v>
      </c>
      <c r="FP23" s="123">
        <v>0</v>
      </c>
      <c r="FQ23" s="123">
        <v>0</v>
      </c>
      <c r="FR23" s="123">
        <v>0</v>
      </c>
      <c r="FS23" s="123">
        <f t="shared" si="30"/>
        <v>13.46</v>
      </c>
      <c r="FT23" s="123">
        <v>0</v>
      </c>
      <c r="FU23" s="123"/>
      <c r="FV23" s="123">
        <v>13.168</v>
      </c>
      <c r="FW23" s="123">
        <v>24.256</v>
      </c>
      <c r="FX23" s="123">
        <v>0</v>
      </c>
      <c r="FY23" s="123">
        <v>0</v>
      </c>
      <c r="FZ23" s="123">
        <v>0.141</v>
      </c>
      <c r="GA23" s="123">
        <v>0.008</v>
      </c>
      <c r="GB23" s="123">
        <v>0.198</v>
      </c>
      <c r="GC23" s="123"/>
      <c r="GD23" s="123">
        <v>0.002</v>
      </c>
      <c r="GE23" s="123"/>
      <c r="GF23" s="123">
        <v>0.073</v>
      </c>
      <c r="GG23" s="123">
        <f t="shared" si="31"/>
        <v>37.846000000000004</v>
      </c>
      <c r="GH23" s="123">
        <v>20.056</v>
      </c>
      <c r="GI23" s="123">
        <v>36.821</v>
      </c>
      <c r="GJ23" s="123">
        <v>36.791</v>
      </c>
      <c r="GK23" s="123">
        <v>0.003</v>
      </c>
      <c r="GL23" s="123"/>
      <c r="GM23" s="123"/>
      <c r="GN23" s="123"/>
      <c r="GO23" s="123">
        <v>0.069</v>
      </c>
      <c r="GP23" s="123"/>
      <c r="GQ23" s="123"/>
      <c r="GR23" s="123"/>
      <c r="GS23" s="123"/>
      <c r="GT23" s="123">
        <v>0.041</v>
      </c>
      <c r="GU23" s="123">
        <v>0.217</v>
      </c>
      <c r="GV23" s="123"/>
      <c r="GW23" s="123">
        <v>0.243</v>
      </c>
      <c r="GX23" s="123"/>
      <c r="GY23" s="123"/>
      <c r="GZ23" s="123"/>
      <c r="HA23" s="123">
        <v>0.146</v>
      </c>
      <c r="HB23" s="123">
        <v>0.117</v>
      </c>
      <c r="HC23" s="123"/>
      <c r="HD23" s="123">
        <v>0.021</v>
      </c>
      <c r="HE23" s="123">
        <v>0.23</v>
      </c>
      <c r="HF23" s="123">
        <v>7</v>
      </c>
      <c r="HG23" s="123">
        <v>11.914</v>
      </c>
      <c r="HH23" s="123"/>
      <c r="HI23" s="123"/>
      <c r="HJ23" s="123"/>
      <c r="HK23" s="123">
        <v>0</v>
      </c>
      <c r="HL23" s="123"/>
      <c r="HM23" s="123"/>
      <c r="HN23" s="123"/>
      <c r="HO23" s="123">
        <v>0.118</v>
      </c>
      <c r="HP23" s="123">
        <v>0.608</v>
      </c>
      <c r="HQ23" s="123">
        <v>0.004</v>
      </c>
      <c r="HR23" s="123">
        <v>24.28</v>
      </c>
      <c r="HS23" s="123">
        <v>0</v>
      </c>
      <c r="HT23" s="123">
        <v>0</v>
      </c>
      <c r="HU23" s="123">
        <v>0</v>
      </c>
      <c r="HV23" s="123"/>
      <c r="HW23" s="123"/>
      <c r="HX23" s="123"/>
      <c r="HY23" s="123"/>
      <c r="HZ23" s="123"/>
      <c r="IA23" s="123"/>
      <c r="IB23" s="123"/>
      <c r="IC23" s="123"/>
      <c r="ID23" s="150">
        <f t="shared" si="32"/>
        <v>18.914</v>
      </c>
      <c r="IE23" s="150">
        <f t="shared" si="33"/>
        <v>24.28</v>
      </c>
    </row>
    <row r="24" spans="1:239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3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4"/>
        <v>2287</v>
      </c>
      <c r="AD24" s="49">
        <f t="shared" si="15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6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7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8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9"/>
        <v>626.9000000000005</v>
      </c>
      <c r="CE24" s="17">
        <f t="shared" si="20"/>
        <v>298.3000000000002</v>
      </c>
      <c r="CF24" s="17">
        <f t="shared" si="21"/>
        <v>200.29999999999927</v>
      </c>
      <c r="CG24" s="17">
        <f t="shared" si="22"/>
        <v>180.80000000000018</v>
      </c>
      <c r="CH24" s="17">
        <f t="shared" si="23"/>
        <v>162.80000000000018</v>
      </c>
      <c r="CI24" s="17">
        <f t="shared" si="24"/>
        <v>366.8000000000002</v>
      </c>
      <c r="CJ24" s="87">
        <f t="shared" si="25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5270.678</v>
      </c>
      <c r="DG24" s="123">
        <v>182.7</v>
      </c>
      <c r="DH24" s="123">
        <v>418.4</v>
      </c>
      <c r="DI24" s="123">
        <v>631.6</v>
      </c>
      <c r="DJ24" s="123">
        <v>1172.1</v>
      </c>
      <c r="DK24" s="123">
        <v>1468</v>
      </c>
      <c r="DL24" s="123">
        <v>1897.7</v>
      </c>
      <c r="DM24" s="123">
        <v>2644.4</v>
      </c>
      <c r="DN24" s="123">
        <v>2703.3</v>
      </c>
      <c r="DO24" s="123">
        <v>2780.6</v>
      </c>
      <c r="DP24" s="123">
        <v>2873.3</v>
      </c>
      <c r="DQ24" s="123">
        <v>2953.3</v>
      </c>
      <c r="DR24" s="123">
        <v>75</v>
      </c>
      <c r="DS24" s="123">
        <f>DQ24+DR24</f>
        <v>3028.3</v>
      </c>
      <c r="DT24" s="123">
        <v>136</v>
      </c>
      <c r="DU24" s="123">
        <v>180</v>
      </c>
      <c r="DV24" s="123">
        <v>260</v>
      </c>
      <c r="DW24" s="123">
        <v>43</v>
      </c>
      <c r="DX24" s="123">
        <f>'[1]Feuil2'!$D$23</f>
        <v>60.058</v>
      </c>
      <c r="DY24" s="123">
        <f>'[2]Feuil3'!$E$23</f>
        <v>204.784</v>
      </c>
      <c r="DZ24" s="123">
        <v>244</v>
      </c>
      <c r="EA24" s="123">
        <v>1145</v>
      </c>
      <c r="EB24" s="123">
        <v>287.42</v>
      </c>
      <c r="EC24" s="123">
        <v>232.871</v>
      </c>
      <c r="ED24" s="123">
        <v>119</v>
      </c>
      <c r="EE24" s="123">
        <v>191</v>
      </c>
      <c r="EF24" s="150">
        <f t="shared" si="27"/>
        <v>3103.1330000000003</v>
      </c>
      <c r="EG24" s="123">
        <v>226</v>
      </c>
      <c r="EH24" s="123">
        <v>153</v>
      </c>
      <c r="EI24" s="123">
        <v>471</v>
      </c>
      <c r="EJ24" s="123">
        <v>609.734</v>
      </c>
      <c r="EK24" s="123">
        <v>204.3</v>
      </c>
      <c r="EL24" s="123">
        <v>198.9</v>
      </c>
      <c r="EM24" s="123">
        <v>808.4</v>
      </c>
      <c r="EN24" s="123">
        <v>1371.61</v>
      </c>
      <c r="EO24" s="123">
        <v>170.923</v>
      </c>
      <c r="EP24" s="123">
        <v>1197.066</v>
      </c>
      <c r="EQ24" s="123">
        <v>715.3</v>
      </c>
      <c r="ER24" s="123">
        <v>1119.7</v>
      </c>
      <c r="ES24" s="123">
        <f t="shared" si="28"/>
        <v>7245.932999999999</v>
      </c>
      <c r="ET24" s="123">
        <v>1464.387</v>
      </c>
      <c r="EU24" s="123">
        <v>289.525</v>
      </c>
      <c r="EV24" s="123">
        <f>'[4]IV5-IV6'!$D$29</f>
        <v>471.077</v>
      </c>
      <c r="EW24" s="123">
        <v>208.34</v>
      </c>
      <c r="EX24" s="123">
        <v>269.5</v>
      </c>
      <c r="EY24" s="123">
        <v>380.8</v>
      </c>
      <c r="EZ24" s="123">
        <v>1136.383</v>
      </c>
      <c r="FA24" s="123">
        <v>1880.78</v>
      </c>
      <c r="FB24" s="123">
        <v>666</v>
      </c>
      <c r="FC24" s="123">
        <v>1090.502</v>
      </c>
      <c r="FD24" s="123">
        <v>1127.535</v>
      </c>
      <c r="FE24" s="123">
        <v>155.587</v>
      </c>
      <c r="FF24" s="123">
        <f t="shared" si="29"/>
        <v>9140.416</v>
      </c>
      <c r="FG24" s="123">
        <v>263.159</v>
      </c>
      <c r="FH24" s="123">
        <v>354.646</v>
      </c>
      <c r="FI24" s="123">
        <v>983.425</v>
      </c>
      <c r="FJ24" s="123">
        <f>'[5]IV5-IV6'!$C$54</f>
        <v>1067.143</v>
      </c>
      <c r="FK24" s="123">
        <v>2940.885</v>
      </c>
      <c r="FL24" s="123">
        <v>654.2</v>
      </c>
      <c r="FM24" s="123">
        <v>164.029</v>
      </c>
      <c r="FN24" s="123">
        <v>215.066</v>
      </c>
      <c r="FO24" s="123">
        <v>375.024</v>
      </c>
      <c r="FP24" s="123">
        <v>136.1</v>
      </c>
      <c r="FQ24" s="123">
        <v>301.027</v>
      </c>
      <c r="FR24" s="123">
        <v>169.2</v>
      </c>
      <c r="FS24" s="123">
        <f t="shared" si="30"/>
        <v>7623.9039999999995</v>
      </c>
      <c r="FT24" s="123">
        <v>354.646</v>
      </c>
      <c r="FU24" s="123">
        <v>235.694</v>
      </c>
      <c r="FV24" s="123">
        <v>245.791</v>
      </c>
      <c r="FW24" s="123">
        <v>1268.936</v>
      </c>
      <c r="FX24" s="123">
        <v>682.239</v>
      </c>
      <c r="FY24" s="123">
        <v>396.427</v>
      </c>
      <c r="FZ24" s="123">
        <v>2952.409</v>
      </c>
      <c r="GA24" s="123">
        <v>903.084</v>
      </c>
      <c r="GB24" s="123">
        <v>53.008</v>
      </c>
      <c r="GC24" s="123">
        <v>383.329</v>
      </c>
      <c r="GD24" s="123">
        <v>171.503</v>
      </c>
      <c r="GE24" s="123">
        <v>313.167</v>
      </c>
      <c r="GF24" s="123">
        <v>467.574</v>
      </c>
      <c r="GG24" s="123">
        <f t="shared" si="31"/>
        <v>8073.160999999999</v>
      </c>
      <c r="GH24" s="123">
        <v>56.035</v>
      </c>
      <c r="GI24" s="123">
        <v>305.233</v>
      </c>
      <c r="GJ24" s="123">
        <v>955.664</v>
      </c>
      <c r="GK24" s="123">
        <v>346.909</v>
      </c>
      <c r="GL24" s="123">
        <v>625.006</v>
      </c>
      <c r="GM24" s="123">
        <v>1280.242</v>
      </c>
      <c r="GN24" s="123">
        <v>300.929</v>
      </c>
      <c r="GO24" s="123">
        <v>391.467</v>
      </c>
      <c r="GP24" s="123">
        <v>220.605</v>
      </c>
      <c r="GQ24" s="123">
        <v>92.845</v>
      </c>
      <c r="GR24" s="123">
        <v>56.563</v>
      </c>
      <c r="GS24" s="123">
        <v>250.363</v>
      </c>
      <c r="GT24" s="123">
        <v>386.571</v>
      </c>
      <c r="GU24" s="123">
        <v>268.191</v>
      </c>
      <c r="GV24" s="123">
        <v>254.17</v>
      </c>
      <c r="GW24" s="123">
        <v>387.776</v>
      </c>
      <c r="GX24" s="123">
        <v>830.438</v>
      </c>
      <c r="GY24" s="123">
        <v>1961.876</v>
      </c>
      <c r="GZ24" s="123">
        <v>226.805</v>
      </c>
      <c r="HA24" s="123">
        <v>94.207</v>
      </c>
      <c r="HB24" s="123">
        <v>235.604</v>
      </c>
      <c r="HC24" s="123">
        <v>198.332</v>
      </c>
      <c r="HD24" s="123">
        <v>434.623</v>
      </c>
      <c r="HE24" s="123">
        <v>270.15</v>
      </c>
      <c r="HF24" s="123">
        <v>113.863</v>
      </c>
      <c r="HG24" s="123">
        <v>179.506</v>
      </c>
      <c r="HH24" s="123">
        <v>95.558</v>
      </c>
      <c r="HI24" s="123">
        <v>67.524</v>
      </c>
      <c r="HJ24" s="123">
        <v>1715.598</v>
      </c>
      <c r="HK24" s="123">
        <v>727.433</v>
      </c>
      <c r="HL24" s="123">
        <v>91.446</v>
      </c>
      <c r="HM24" s="123">
        <v>201.143</v>
      </c>
      <c r="HN24" s="123">
        <v>292.883</v>
      </c>
      <c r="HO24" s="123">
        <v>753.527</v>
      </c>
      <c r="HP24" s="123">
        <v>603.089</v>
      </c>
      <c r="HQ24" s="123">
        <v>429.108</v>
      </c>
      <c r="HR24" s="123">
        <v>454.608</v>
      </c>
      <c r="HS24" s="123">
        <v>425.165</v>
      </c>
      <c r="HT24" s="123">
        <v>437.083</v>
      </c>
      <c r="HU24" s="123">
        <v>246.339</v>
      </c>
      <c r="HV24" s="123"/>
      <c r="HW24" s="123"/>
      <c r="HX24" s="123"/>
      <c r="HY24" s="123"/>
      <c r="HZ24" s="123"/>
      <c r="IA24" s="123"/>
      <c r="IB24" s="123"/>
      <c r="IC24" s="123"/>
      <c r="ID24" s="150">
        <f t="shared" si="32"/>
        <v>456.451</v>
      </c>
      <c r="IE24" s="150">
        <f t="shared" si="33"/>
        <v>1563.195</v>
      </c>
    </row>
    <row r="25" spans="1:239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3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4"/>
        <v>1305</v>
      </c>
      <c r="AD25" s="49">
        <f t="shared" si="15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6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7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8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9"/>
        <v>93.40000000000006</v>
      </c>
      <c r="CE25" s="17">
        <f t="shared" si="20"/>
        <v>343.5</v>
      </c>
      <c r="CF25" s="17">
        <f t="shared" si="21"/>
        <v>201.89999999999986</v>
      </c>
      <c r="CG25" s="17">
        <f t="shared" si="22"/>
        <v>75.10000000000008</v>
      </c>
      <c r="CH25" s="17">
        <f t="shared" si="23"/>
        <v>103.49999999999997</v>
      </c>
      <c r="CI25" s="17">
        <f t="shared" si="24"/>
        <v>27.299999999999898</v>
      </c>
      <c r="CJ25" s="87">
        <f t="shared" si="25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2335.157</v>
      </c>
      <c r="DG25" s="123">
        <v>200.7</v>
      </c>
      <c r="DH25" s="123">
        <v>433.2</v>
      </c>
      <c r="DI25" s="123">
        <v>589.2</v>
      </c>
      <c r="DJ25" s="123">
        <v>766.9</v>
      </c>
      <c r="DK25" s="123">
        <v>866</v>
      </c>
      <c r="DL25" s="123">
        <v>894.9</v>
      </c>
      <c r="DM25" s="123">
        <v>967.4</v>
      </c>
      <c r="DN25" s="123">
        <v>1174.4</v>
      </c>
      <c r="DO25" s="123">
        <v>1361.1</v>
      </c>
      <c r="DP25" s="123">
        <v>1417.1</v>
      </c>
      <c r="DQ25" s="123">
        <v>1470.1</v>
      </c>
      <c r="DR25" s="123">
        <v>0</v>
      </c>
      <c r="DS25" s="123">
        <f>DQ25+DR25</f>
        <v>1470.1</v>
      </c>
      <c r="DT25" s="123">
        <v>102</v>
      </c>
      <c r="DU25" s="123">
        <v>132</v>
      </c>
      <c r="DV25" s="123">
        <v>94</v>
      </c>
      <c r="DW25" s="123">
        <v>350</v>
      </c>
      <c r="DX25" s="123">
        <f>'[1]Feuil2'!$D$31</f>
        <v>387.88</v>
      </c>
      <c r="DY25" s="123">
        <f>'[2]Feuil3'!$E$34</f>
        <v>113.197</v>
      </c>
      <c r="DZ25" s="123">
        <v>176</v>
      </c>
      <c r="EA25" s="123">
        <v>62</v>
      </c>
      <c r="EB25" s="123">
        <v>57.819</v>
      </c>
      <c r="EC25" s="123">
        <v>206.159</v>
      </c>
      <c r="ED25" s="123">
        <v>260</v>
      </c>
      <c r="EE25" s="123">
        <v>29</v>
      </c>
      <c r="EF25" s="150">
        <f t="shared" si="27"/>
        <v>1970.0550000000003</v>
      </c>
      <c r="EG25" s="123">
        <v>150</v>
      </c>
      <c r="EH25" s="123">
        <v>38</v>
      </c>
      <c r="EI25" s="123">
        <v>217</v>
      </c>
      <c r="EJ25" s="123">
        <v>162.909</v>
      </c>
      <c r="EK25" s="123">
        <v>220.7</v>
      </c>
      <c r="EL25" s="123">
        <v>356</v>
      </c>
      <c r="EM25" s="123">
        <v>187.3</v>
      </c>
      <c r="EN25" s="123">
        <v>78.52</v>
      </c>
      <c r="EO25" s="123">
        <v>478.562</v>
      </c>
      <c r="EP25" s="123">
        <v>30.679</v>
      </c>
      <c r="EQ25" s="123">
        <v>128.3</v>
      </c>
      <c r="ER25" s="123">
        <v>294.5</v>
      </c>
      <c r="ES25" s="123">
        <f t="shared" si="28"/>
        <v>2342.4700000000003</v>
      </c>
      <c r="ET25" s="123">
        <v>197.745</v>
      </c>
      <c r="EU25" s="123">
        <v>49.705</v>
      </c>
      <c r="EV25" s="123">
        <f>'[4]IV5-IV6'!$D$41</f>
        <v>217.219</v>
      </c>
      <c r="EW25" s="123">
        <v>76.95</v>
      </c>
      <c r="EX25" s="123">
        <v>80.8</v>
      </c>
      <c r="EY25" s="123">
        <v>234.5</v>
      </c>
      <c r="EZ25" s="123">
        <v>219.129</v>
      </c>
      <c r="FA25" s="123">
        <v>234.589</v>
      </c>
      <c r="FB25" s="123">
        <v>209.3</v>
      </c>
      <c r="FC25" s="123">
        <v>909.533</v>
      </c>
      <c r="FD25" s="123">
        <v>772.399</v>
      </c>
      <c r="FE25" s="123">
        <v>119.364</v>
      </c>
      <c r="FF25" s="123">
        <f t="shared" si="29"/>
        <v>3321.2329999999997</v>
      </c>
      <c r="FG25" s="123">
        <v>8.067</v>
      </c>
      <c r="FH25" s="123">
        <v>44.994</v>
      </c>
      <c r="FI25" s="123">
        <v>402.566</v>
      </c>
      <c r="FJ25" s="123">
        <f>'[5]IV5-IV6'!$C$55</f>
        <v>386.647</v>
      </c>
      <c r="FK25" s="123">
        <v>192.055</v>
      </c>
      <c r="FL25" s="123">
        <v>394.3</v>
      </c>
      <c r="FM25" s="123">
        <v>196.888</v>
      </c>
      <c r="FN25" s="123">
        <v>492.997</v>
      </c>
      <c r="FO25" s="123">
        <v>386.247</v>
      </c>
      <c r="FP25" s="123">
        <v>301.4</v>
      </c>
      <c r="FQ25" s="123">
        <v>497.144</v>
      </c>
      <c r="FR25" s="123">
        <v>491.1</v>
      </c>
      <c r="FS25" s="123">
        <f t="shared" si="30"/>
        <v>3794.4049999999993</v>
      </c>
      <c r="FT25" s="123">
        <v>44.994</v>
      </c>
      <c r="FU25" s="123">
        <v>644.011</v>
      </c>
      <c r="FV25" s="123">
        <v>276.429</v>
      </c>
      <c r="FW25" s="123">
        <v>783.896</v>
      </c>
      <c r="FX25" s="123">
        <v>599.54</v>
      </c>
      <c r="FY25" s="123">
        <v>402.206</v>
      </c>
      <c r="FZ25" s="123">
        <v>200.779</v>
      </c>
      <c r="GA25" s="123">
        <v>92.799</v>
      </c>
      <c r="GB25" s="123">
        <v>44.712</v>
      </c>
      <c r="GC25" s="123">
        <v>459.947</v>
      </c>
      <c r="GD25" s="123">
        <v>984.325</v>
      </c>
      <c r="GE25" s="123">
        <v>99.392</v>
      </c>
      <c r="GF25" s="123">
        <v>309.22</v>
      </c>
      <c r="GG25" s="123">
        <f t="shared" si="31"/>
        <v>4897.256</v>
      </c>
      <c r="GH25" s="123">
        <v>791.636</v>
      </c>
      <c r="GI25" s="123">
        <v>269.835</v>
      </c>
      <c r="GJ25" s="123">
        <v>387.002</v>
      </c>
      <c r="GK25" s="123">
        <v>520.882</v>
      </c>
      <c r="GL25" s="123">
        <v>543.868</v>
      </c>
      <c r="GM25" s="123">
        <v>267.983</v>
      </c>
      <c r="GN25" s="123">
        <v>1250.354</v>
      </c>
      <c r="GO25" s="123">
        <v>436.783</v>
      </c>
      <c r="GP25" s="123">
        <v>80.973</v>
      </c>
      <c r="GQ25" s="123">
        <v>732.309</v>
      </c>
      <c r="GR25" s="123">
        <v>222.668</v>
      </c>
      <c r="GS25" s="123">
        <v>249.486</v>
      </c>
      <c r="GT25" s="123">
        <v>394.431</v>
      </c>
      <c r="GU25" s="123">
        <v>6.778</v>
      </c>
      <c r="GV25" s="123">
        <v>66.282</v>
      </c>
      <c r="GW25" s="123">
        <v>11.486</v>
      </c>
      <c r="GX25" s="123">
        <v>38.486</v>
      </c>
      <c r="GY25" s="123">
        <v>207.326</v>
      </c>
      <c r="GZ25" s="123">
        <v>131.955</v>
      </c>
      <c r="HA25" s="123">
        <v>114.943</v>
      </c>
      <c r="HB25" s="123">
        <v>162.893</v>
      </c>
      <c r="HC25" s="123">
        <v>168.022</v>
      </c>
      <c r="HD25" s="123">
        <v>140.844</v>
      </c>
      <c r="HE25" s="123">
        <v>161.626</v>
      </c>
      <c r="HF25" s="123">
        <v>61.67</v>
      </c>
      <c r="HG25" s="123">
        <v>208.845</v>
      </c>
      <c r="HH25" s="123">
        <v>181.569</v>
      </c>
      <c r="HI25" s="123">
        <v>211.677</v>
      </c>
      <c r="HJ25" s="123">
        <v>162.026</v>
      </c>
      <c r="HK25" s="123">
        <v>353.894</v>
      </c>
      <c r="HL25" s="123">
        <v>210.736</v>
      </c>
      <c r="HM25" s="123">
        <v>298.634</v>
      </c>
      <c r="HN25" s="123">
        <v>355.749</v>
      </c>
      <c r="HO25" s="123">
        <v>17.306</v>
      </c>
      <c r="HP25" s="123">
        <v>93.385</v>
      </c>
      <c r="HQ25" s="123">
        <v>179.666</v>
      </c>
      <c r="HR25" s="123">
        <v>225.08</v>
      </c>
      <c r="HS25" s="123">
        <v>131.997</v>
      </c>
      <c r="HT25" s="123">
        <v>129.791</v>
      </c>
      <c r="HU25" s="123">
        <v>175.629</v>
      </c>
      <c r="HV25" s="123"/>
      <c r="HW25" s="123"/>
      <c r="HX25" s="123"/>
      <c r="HY25" s="123"/>
      <c r="HZ25" s="123"/>
      <c r="IA25" s="123"/>
      <c r="IB25" s="123"/>
      <c r="IC25" s="123"/>
      <c r="ID25" s="150">
        <f t="shared" si="32"/>
        <v>663.761</v>
      </c>
      <c r="IE25" s="150">
        <f t="shared" si="33"/>
        <v>662.497</v>
      </c>
    </row>
    <row r="26" spans="1:239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3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4"/>
        <v>22</v>
      </c>
      <c r="AD26" s="49">
        <f t="shared" si="15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6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9"/>
        <v>0</v>
      </c>
      <c r="CE26" s="17">
        <f t="shared" si="20"/>
        <v>0</v>
      </c>
      <c r="CF26" s="17">
        <f t="shared" si="21"/>
        <v>0</v>
      </c>
      <c r="CG26" s="17">
        <f t="shared" si="22"/>
        <v>0</v>
      </c>
      <c r="CH26" s="17">
        <f t="shared" si="23"/>
        <v>0</v>
      </c>
      <c r="CI26" s="17">
        <f t="shared" si="24"/>
        <v>0</v>
      </c>
      <c r="CJ26" s="87">
        <f t="shared" si="25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>
        <v>2357.799</v>
      </c>
      <c r="DG26" s="123" t="s">
        <v>36</v>
      </c>
      <c r="DH26" s="123" t="s">
        <v>36</v>
      </c>
      <c r="DI26" s="123" t="s">
        <v>36</v>
      </c>
      <c r="DJ26" s="123">
        <v>67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>
        <v>135</v>
      </c>
      <c r="DR26" s="123"/>
      <c r="DS26" s="123">
        <f>DQ26+DR26</f>
        <v>135</v>
      </c>
      <c r="DT26" s="123" t="s">
        <v>36</v>
      </c>
      <c r="DU26" s="123"/>
      <c r="DV26" s="123">
        <v>0</v>
      </c>
      <c r="DW26" s="123" t="s">
        <v>36</v>
      </c>
      <c r="DX26" s="123" t="s">
        <v>36</v>
      </c>
      <c r="DY26" s="123">
        <v>0</v>
      </c>
      <c r="DZ26" s="123">
        <v>0</v>
      </c>
      <c r="EA26" s="123">
        <v>0</v>
      </c>
      <c r="EB26" s="123">
        <v>0</v>
      </c>
      <c r="EC26" s="123">
        <v>0</v>
      </c>
      <c r="ED26" s="123"/>
      <c r="EE26" s="123"/>
      <c r="EF26" s="150" t="s">
        <v>36</v>
      </c>
      <c r="EG26" s="123">
        <v>0</v>
      </c>
      <c r="EH26" s="123"/>
      <c r="EI26" s="123">
        <v>0</v>
      </c>
      <c r="EJ26" s="123">
        <v>0</v>
      </c>
      <c r="EK26" s="123"/>
      <c r="EL26" s="123"/>
      <c r="EM26" s="123">
        <v>4.3</v>
      </c>
      <c r="EN26" s="123">
        <v>0</v>
      </c>
      <c r="EO26" s="123">
        <v>0</v>
      </c>
      <c r="EP26" s="123">
        <v>0</v>
      </c>
      <c r="EQ26" s="123"/>
      <c r="ER26" s="123"/>
      <c r="ES26" s="123">
        <f t="shared" si="28"/>
        <v>4.3</v>
      </c>
      <c r="ET26" s="123">
        <v>237.81</v>
      </c>
      <c r="EU26" s="123">
        <v>17.396</v>
      </c>
      <c r="EV26" s="123">
        <v>0</v>
      </c>
      <c r="EW26" s="123">
        <v>17</v>
      </c>
      <c r="EX26" s="123"/>
      <c r="EY26" s="123">
        <v>0.2</v>
      </c>
      <c r="EZ26" s="123"/>
      <c r="FA26" s="123">
        <v>84.278</v>
      </c>
      <c r="FB26" s="123"/>
      <c r="FC26" s="123">
        <v>437.239</v>
      </c>
      <c r="FD26" s="123">
        <v>31.378</v>
      </c>
      <c r="FE26" s="123">
        <v>8.849</v>
      </c>
      <c r="FF26" s="123">
        <f t="shared" si="29"/>
        <v>834.1500000000001</v>
      </c>
      <c r="FG26" s="123"/>
      <c r="FH26" s="123">
        <v>0</v>
      </c>
      <c r="FI26" s="123">
        <v>9.649</v>
      </c>
      <c r="FJ26" s="123">
        <v>0</v>
      </c>
      <c r="FK26" s="123">
        <v>13.645</v>
      </c>
      <c r="FL26" s="123">
        <v>0.9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v>0</v>
      </c>
      <c r="FS26" s="123">
        <f t="shared" si="30"/>
        <v>24.193999999999996</v>
      </c>
      <c r="FT26" s="123">
        <v>0</v>
      </c>
      <c r="FU26" s="123">
        <v>7.922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>
        <v>0</v>
      </c>
      <c r="GB26" s="123"/>
      <c r="GC26" s="123">
        <v>0.05</v>
      </c>
      <c r="GD26" s="123"/>
      <c r="GE26" s="123"/>
      <c r="GF26" s="123"/>
      <c r="GG26" s="123">
        <f t="shared" si="31"/>
        <v>7.9719999999999995</v>
      </c>
      <c r="GH26" s="123">
        <v>6.145</v>
      </c>
      <c r="GI26" s="123">
        <v>0</v>
      </c>
      <c r="GJ26" s="123"/>
      <c r="GK26" s="123">
        <v>0</v>
      </c>
      <c r="GL26" s="123">
        <v>0.43</v>
      </c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>
        <v>7</v>
      </c>
      <c r="GY26" s="123"/>
      <c r="GZ26" s="123"/>
      <c r="HA26" s="123"/>
      <c r="HB26" s="123"/>
      <c r="HC26" s="123"/>
      <c r="HD26" s="123"/>
      <c r="HE26" s="123">
        <v>23.29</v>
      </c>
      <c r="HF26" s="123">
        <v>8.3</v>
      </c>
      <c r="HG26" s="123">
        <v>18.369</v>
      </c>
      <c r="HH26" s="123"/>
      <c r="HI26" s="123"/>
      <c r="HJ26" s="123"/>
      <c r="HK26" s="123">
        <v>0</v>
      </c>
      <c r="HL26" s="123"/>
      <c r="HM26" s="123">
        <v>2.5</v>
      </c>
      <c r="HN26" s="123">
        <v>509.98</v>
      </c>
      <c r="HO26" s="123">
        <v>501.64</v>
      </c>
      <c r="HP26" s="123">
        <v>511.82</v>
      </c>
      <c r="HQ26" s="123">
        <v>805.19</v>
      </c>
      <c r="HR26" s="123">
        <v>507.18</v>
      </c>
      <c r="HS26" s="123">
        <v>0</v>
      </c>
      <c r="HT26" s="123">
        <v>21.56</v>
      </c>
      <c r="HU26" s="123">
        <v>0</v>
      </c>
      <c r="HV26" s="123"/>
      <c r="HW26" s="123"/>
      <c r="HX26" s="123"/>
      <c r="HY26" s="123"/>
      <c r="HZ26" s="123"/>
      <c r="IA26" s="123"/>
      <c r="IB26" s="123"/>
      <c r="IC26" s="123"/>
      <c r="ID26" s="150">
        <f t="shared" si="32"/>
        <v>26.669</v>
      </c>
      <c r="IE26" s="150">
        <f t="shared" si="33"/>
        <v>528.74</v>
      </c>
    </row>
    <row r="27" spans="1:239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3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4"/>
        <v>493</v>
      </c>
      <c r="AD27" s="49">
        <f t="shared" si="15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6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9"/>
        <v>15.699999999999818</v>
      </c>
      <c r="CE27" s="17">
        <f t="shared" si="20"/>
        <v>7.300000000000182</v>
      </c>
      <c r="CF27" s="17">
        <f t="shared" si="21"/>
        <v>28.40000000000009</v>
      </c>
      <c r="CG27" s="17">
        <f t="shared" si="22"/>
        <v>18.399999999999636</v>
      </c>
      <c r="CH27" s="17">
        <f t="shared" si="23"/>
        <v>30.5</v>
      </c>
      <c r="CI27" s="17">
        <f t="shared" si="24"/>
        <v>54.20000000000027</v>
      </c>
      <c r="CJ27" s="87">
        <f t="shared" si="25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4242.891</v>
      </c>
      <c r="DG27" s="123">
        <v>56.1</v>
      </c>
      <c r="DH27" s="123">
        <v>95.5</v>
      </c>
      <c r="DI27" s="123">
        <v>1884.8</v>
      </c>
      <c r="DJ27" s="123">
        <v>2157.1</v>
      </c>
      <c r="DK27" s="123">
        <v>2188</v>
      </c>
      <c r="DL27" s="123">
        <v>2224.9</v>
      </c>
      <c r="DM27" s="123">
        <v>2275.6</v>
      </c>
      <c r="DN27" s="123">
        <v>2423.6</v>
      </c>
      <c r="DO27" s="123">
        <v>2503.8</v>
      </c>
      <c r="DP27" s="123">
        <v>2555.9</v>
      </c>
      <c r="DQ27" s="123">
        <v>2573.9</v>
      </c>
      <c r="DR27" s="123">
        <v>43</v>
      </c>
      <c r="DS27" s="123">
        <f>DQ27+DR27</f>
        <v>2616.9</v>
      </c>
      <c r="DT27" s="123">
        <v>126</v>
      </c>
      <c r="DU27" s="123">
        <v>40</v>
      </c>
      <c r="DV27" s="123">
        <v>55</v>
      </c>
      <c r="DW27" s="123">
        <v>65</v>
      </c>
      <c r="DX27" s="123">
        <f>'[1]Feuil2'!$D$32</f>
        <v>29.881</v>
      </c>
      <c r="DY27" s="123">
        <f>'[2]Feuil3'!$E$36</f>
        <v>25.256</v>
      </c>
      <c r="DZ27" s="123">
        <v>22</v>
      </c>
      <c r="EA27" s="123">
        <v>70</v>
      </c>
      <c r="EB27" s="123">
        <v>131.073</v>
      </c>
      <c r="EC27" s="123">
        <v>106.329</v>
      </c>
      <c r="ED27" s="123">
        <v>536</v>
      </c>
      <c r="EE27" s="123">
        <v>156</v>
      </c>
      <c r="EF27" s="150">
        <f>SUM(DT27:EE27)</f>
        <v>1362.5389999999998</v>
      </c>
      <c r="EG27" s="123">
        <v>21</v>
      </c>
      <c r="EH27" s="123">
        <v>103</v>
      </c>
      <c r="EI27" s="123">
        <v>89</v>
      </c>
      <c r="EJ27" s="123">
        <v>2150.721</v>
      </c>
      <c r="EK27" s="123">
        <v>1321.2</v>
      </c>
      <c r="EL27" s="123">
        <v>156.9</v>
      </c>
      <c r="EM27" s="123">
        <v>234.2</v>
      </c>
      <c r="EN27" s="123">
        <v>1214.32</v>
      </c>
      <c r="EO27" s="123">
        <v>1095.01</v>
      </c>
      <c r="EP27" s="123">
        <v>118.469</v>
      </c>
      <c r="EQ27" s="123">
        <f>39.6+58</f>
        <v>97.6</v>
      </c>
      <c r="ER27" s="123">
        <f>5.2+236.3</f>
        <v>241.5</v>
      </c>
      <c r="ES27" s="123">
        <f t="shared" si="28"/>
        <v>6842.920000000001</v>
      </c>
      <c r="ET27" s="123">
        <v>54.294</v>
      </c>
      <c r="EU27" s="123">
        <v>110.936</v>
      </c>
      <c r="EV27" s="123">
        <f>'[4]IV5-IV6'!$D$44</f>
        <v>88.502</v>
      </c>
      <c r="EW27" s="123">
        <v>258.93</v>
      </c>
      <c r="EX27" s="123">
        <v>153.158</v>
      </c>
      <c r="EY27" s="123">
        <v>80.6</v>
      </c>
      <c r="EZ27" s="123">
        <v>453.644</v>
      </c>
      <c r="FA27" s="123">
        <v>99.097</v>
      </c>
      <c r="FB27" s="123">
        <v>441.8</v>
      </c>
      <c r="FC27" s="123">
        <v>362.646</v>
      </c>
      <c r="FD27" s="123">
        <v>35.74</v>
      </c>
      <c r="FE27" s="123">
        <v>97.883</v>
      </c>
      <c r="FF27" s="123">
        <f t="shared" si="29"/>
        <v>2237.2299999999996</v>
      </c>
      <c r="FG27" s="123">
        <v>32.712</v>
      </c>
      <c r="FH27" s="123">
        <v>28.832</v>
      </c>
      <c r="FI27" s="123">
        <v>255.035</v>
      </c>
      <c r="FJ27" s="123">
        <f>'[5]IV5-IV6'!$C$56</f>
        <v>129.826</v>
      </c>
      <c r="FK27" s="123">
        <v>118.578</v>
      </c>
      <c r="FL27" s="123">
        <v>2744.7</v>
      </c>
      <c r="FM27" s="123">
        <v>193.26</v>
      </c>
      <c r="FN27" s="123">
        <v>49.994</v>
      </c>
      <c r="FO27" s="123">
        <v>80.425</v>
      </c>
      <c r="FP27" s="123">
        <v>3586.7</v>
      </c>
      <c r="FQ27" s="123">
        <v>959.772</v>
      </c>
      <c r="FR27" s="123">
        <v>74.3</v>
      </c>
      <c r="FS27" s="123">
        <f t="shared" si="30"/>
        <v>8254.134</v>
      </c>
      <c r="FT27" s="123">
        <v>28.832</v>
      </c>
      <c r="FU27" s="123">
        <v>37.345</v>
      </c>
      <c r="FV27" s="123">
        <v>85.638</v>
      </c>
      <c r="FW27" s="123">
        <v>393.956</v>
      </c>
      <c r="FX27" s="123">
        <v>421.636</v>
      </c>
      <c r="FY27" s="123">
        <v>336.795</v>
      </c>
      <c r="FZ27" s="123">
        <v>94.371</v>
      </c>
      <c r="GA27" s="123">
        <v>134</v>
      </c>
      <c r="GB27" s="123">
        <v>2137.171</v>
      </c>
      <c r="GC27" s="123">
        <v>232.727</v>
      </c>
      <c r="GD27" s="123">
        <v>179.138</v>
      </c>
      <c r="GE27" s="123">
        <v>114.423</v>
      </c>
      <c r="GF27" s="123">
        <v>1069.574</v>
      </c>
      <c r="GG27" s="123">
        <f t="shared" si="31"/>
        <v>5236.773999999999</v>
      </c>
      <c r="GH27" s="123">
        <v>64.776</v>
      </c>
      <c r="GI27" s="123">
        <v>95.943</v>
      </c>
      <c r="GJ27" s="123">
        <v>154.66</v>
      </c>
      <c r="GK27" s="123">
        <v>135.806</v>
      </c>
      <c r="GL27" s="123">
        <v>52.756</v>
      </c>
      <c r="GM27" s="123">
        <v>1276.642</v>
      </c>
      <c r="GN27" s="123">
        <v>31.882</v>
      </c>
      <c r="GO27" s="123">
        <v>16.067</v>
      </c>
      <c r="GP27" s="123">
        <v>17.923</v>
      </c>
      <c r="GQ27" s="123">
        <v>69.37</v>
      </c>
      <c r="GR27" s="123">
        <v>105.901</v>
      </c>
      <c r="GS27" s="123">
        <v>1805.083</v>
      </c>
      <c r="GT27" s="123">
        <v>2727.213</v>
      </c>
      <c r="GU27" s="123">
        <v>13455.628</v>
      </c>
      <c r="GV27" s="123">
        <v>48.82</v>
      </c>
      <c r="GW27" s="123">
        <v>684.204</v>
      </c>
      <c r="GX27" s="123">
        <v>1963.973</v>
      </c>
      <c r="GY27" s="123">
        <v>33.802</v>
      </c>
      <c r="GZ27" s="123">
        <v>623.956</v>
      </c>
      <c r="HA27" s="123">
        <v>94.743</v>
      </c>
      <c r="HB27" s="123">
        <v>5808.483</v>
      </c>
      <c r="HC27" s="123">
        <v>968.835</v>
      </c>
      <c r="HD27" s="123">
        <v>1391.383</v>
      </c>
      <c r="HE27" s="123">
        <v>9258.728</v>
      </c>
      <c r="HF27" s="123">
        <v>1869.041</v>
      </c>
      <c r="HG27" s="123">
        <v>160.385</v>
      </c>
      <c r="HH27" s="123">
        <v>170.581</v>
      </c>
      <c r="HI27" s="123">
        <v>170.363</v>
      </c>
      <c r="HJ27" s="123">
        <v>37.738</v>
      </c>
      <c r="HK27" s="123">
        <v>1058.306</v>
      </c>
      <c r="HL27" s="123">
        <v>72.602</v>
      </c>
      <c r="HM27" s="123">
        <v>102.333</v>
      </c>
      <c r="HN27" s="123">
        <v>108.172</v>
      </c>
      <c r="HO27" s="123">
        <v>51.91</v>
      </c>
      <c r="HP27" s="123">
        <v>193.566</v>
      </c>
      <c r="HQ27" s="123">
        <v>247.894</v>
      </c>
      <c r="HR27" s="123">
        <v>199.043</v>
      </c>
      <c r="HS27" s="123">
        <v>238.351</v>
      </c>
      <c r="HT27" s="123">
        <v>195.013</v>
      </c>
      <c r="HU27" s="123">
        <v>247.368</v>
      </c>
      <c r="HV27" s="123"/>
      <c r="HW27" s="123"/>
      <c r="HX27" s="123"/>
      <c r="HY27" s="123"/>
      <c r="HZ27" s="123"/>
      <c r="IA27" s="123"/>
      <c r="IB27" s="123"/>
      <c r="IC27" s="123"/>
      <c r="ID27" s="150">
        <f t="shared" si="32"/>
        <v>2370.37</v>
      </c>
      <c r="IE27" s="150">
        <f t="shared" si="33"/>
        <v>879.7750000000001</v>
      </c>
    </row>
    <row r="28" spans="1:239" ht="15.75">
      <c r="A28" s="131" t="s">
        <v>116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3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4"/>
        <v>310</v>
      </c>
      <c r="AD28" s="49">
        <f t="shared" si="15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75</v>
      </c>
      <c r="AQ28" s="49">
        <f t="shared" si="16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4"/>
        <v>113.10000000000005</v>
      </c>
      <c r="CJ28" s="87">
        <f t="shared" si="25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1140.9299999999998</v>
      </c>
      <c r="DG28" s="123">
        <v>74.1</v>
      </c>
      <c r="DH28" s="123">
        <v>146</v>
      </c>
      <c r="DI28" s="123">
        <v>264.4</v>
      </c>
      <c r="DJ28" s="123">
        <v>427.7</v>
      </c>
      <c r="DK28" s="123">
        <v>473</v>
      </c>
      <c r="DL28" s="123">
        <v>652.9</v>
      </c>
      <c r="DM28" s="123">
        <v>1002.2</v>
      </c>
      <c r="DN28" s="123">
        <v>1030.8</v>
      </c>
      <c r="DO28" s="123">
        <v>1142.8</v>
      </c>
      <c r="DP28" s="123">
        <v>1207.9</v>
      </c>
      <c r="DQ28" s="123">
        <v>1207.9</v>
      </c>
      <c r="DR28" s="123">
        <v>1626</v>
      </c>
      <c r="DS28" s="123">
        <f>DQ28+DR28</f>
        <v>2833.9</v>
      </c>
      <c r="DT28" s="123">
        <v>182</v>
      </c>
      <c r="DU28" s="123">
        <v>55</v>
      </c>
      <c r="DV28" s="161">
        <f>4+26</f>
        <v>30</v>
      </c>
      <c r="DW28" s="161">
        <f>9</f>
        <v>9</v>
      </c>
      <c r="DX28" s="123">
        <f>'[1]Feuil2'!$D$39</f>
        <v>87.675</v>
      </c>
      <c r="DY28" s="123">
        <v>0</v>
      </c>
      <c r="DZ28" s="123">
        <f>278+1</f>
        <v>279</v>
      </c>
      <c r="EA28" s="123">
        <f>10.6+23.9+244</f>
        <v>278.5</v>
      </c>
      <c r="EB28" s="123">
        <v>210.542</v>
      </c>
      <c r="EC28" s="123">
        <v>886.3870000000001</v>
      </c>
      <c r="ED28" s="123">
        <f>0.238+33.7</f>
        <v>33.938</v>
      </c>
      <c r="EE28" s="123">
        <f>10+21</f>
        <v>31</v>
      </c>
      <c r="EF28" s="150">
        <f>SUM(DT28:EE28)</f>
        <v>2083.042</v>
      </c>
      <c r="EG28" s="123">
        <v>0.2</v>
      </c>
      <c r="EH28" s="123">
        <f>50</f>
        <v>50</v>
      </c>
      <c r="EI28" s="123">
        <f>4+20+102+14</f>
        <v>140</v>
      </c>
      <c r="EJ28" s="123">
        <v>70.556</v>
      </c>
      <c r="EK28" s="123">
        <f>45.4+10.5</f>
        <v>55.9</v>
      </c>
      <c r="EL28" s="123">
        <f>2.1+17.2</f>
        <v>19.3</v>
      </c>
      <c r="EM28" s="123">
        <f>41.1+422.6</f>
        <v>463.70000000000005</v>
      </c>
      <c r="EN28" s="123">
        <f>1.13+32.57</f>
        <v>33.7</v>
      </c>
      <c r="EO28" s="123">
        <v>646.1700000000001</v>
      </c>
      <c r="EP28" s="123">
        <v>3.481</v>
      </c>
      <c r="EQ28" s="123">
        <f>724.9+22.8</f>
        <v>747.6999999999999</v>
      </c>
      <c r="ER28" s="123">
        <f>2+49.8</f>
        <v>51.8</v>
      </c>
      <c r="ES28" s="123">
        <f t="shared" si="28"/>
        <v>2282.507</v>
      </c>
      <c r="ET28" s="123">
        <v>6.502</v>
      </c>
      <c r="EU28" s="123">
        <v>25.639</v>
      </c>
      <c r="EV28" s="123">
        <f>'[4]IV5-IV6'!$D$11+'[4]IV5-IV6'!$D$22+'[4]IV5-IV6'!$D$52</f>
        <v>458.504</v>
      </c>
      <c r="EW28" s="123">
        <f>0.7+0.72+17.01</f>
        <v>18.43</v>
      </c>
      <c r="EX28" s="123">
        <f>0.1+3.486+3.1+11.8+945.9</f>
        <v>964.386</v>
      </c>
      <c r="EY28" s="123">
        <v>35.2</v>
      </c>
      <c r="EZ28" s="123">
        <v>562.561</v>
      </c>
      <c r="FA28" s="123">
        <v>63.577999999999996</v>
      </c>
      <c r="FB28" s="123">
        <f>0.2+39</f>
        <v>39.2</v>
      </c>
      <c r="FC28" s="123">
        <v>12.324</v>
      </c>
      <c r="FD28" s="123">
        <v>728.636</v>
      </c>
      <c r="FE28" s="123">
        <v>63.698</v>
      </c>
      <c r="FF28" s="123">
        <f t="shared" si="29"/>
        <v>2978.658</v>
      </c>
      <c r="FG28" s="123">
        <v>27.248</v>
      </c>
      <c r="FH28" s="123">
        <v>550.059</v>
      </c>
      <c r="FI28" s="123">
        <v>4.5</v>
      </c>
      <c r="FJ28" s="123">
        <f>'[5]IV5-IV6'!$C$46+'[5]IV5-IV6'!$C$48+'[5]IV5-IV6'!$C$49+'[5]IV5-IV6'!$C$52+'[5]IV5-IV6'!$C$57+'[5]IV5-IV6'!$C$58</f>
        <v>119.422</v>
      </c>
      <c r="FK28" s="123">
        <v>335.249</v>
      </c>
      <c r="FL28" s="123">
        <f>13.9</f>
        <v>13.9</v>
      </c>
      <c r="FM28" s="123">
        <v>52.21300000000001</v>
      </c>
      <c r="FN28" s="123">
        <v>36.861000000000004</v>
      </c>
      <c r="FO28" s="123">
        <v>32.599000000000004</v>
      </c>
      <c r="FP28" s="123">
        <f>9.2+1.4+0.1</f>
        <v>10.7</v>
      </c>
      <c r="FQ28" s="123">
        <f>105.342+5.2</f>
        <v>110.542</v>
      </c>
      <c r="FR28" s="123">
        <v>1</v>
      </c>
      <c r="FS28" s="123">
        <f t="shared" si="30"/>
        <v>1294.2930000000001</v>
      </c>
      <c r="FT28" s="123">
        <v>550.059</v>
      </c>
      <c r="FU28" s="123">
        <v>24.81</v>
      </c>
      <c r="FV28" s="123">
        <v>44.502</v>
      </c>
      <c r="FW28" s="123">
        <v>50.161</v>
      </c>
      <c r="FX28" s="123">
        <v>44.422999999999995</v>
      </c>
      <c r="FY28" s="123">
        <v>13.55</v>
      </c>
      <c r="FZ28" s="123">
        <v>20.694</v>
      </c>
      <c r="GA28" s="123">
        <v>26.224</v>
      </c>
      <c r="GB28" s="123">
        <v>58.38300000000001</v>
      </c>
      <c r="GC28" s="123">
        <v>40.92499999999999</v>
      </c>
      <c r="GD28" s="123">
        <v>12.091</v>
      </c>
      <c r="GE28" s="123">
        <v>84.948</v>
      </c>
      <c r="GF28" s="123">
        <v>1.579</v>
      </c>
      <c r="GG28" s="123">
        <f t="shared" si="31"/>
        <v>422.28999999999996</v>
      </c>
      <c r="GH28" s="123">
        <v>6.0329999999999995</v>
      </c>
      <c r="GI28" s="123">
        <v>75.143</v>
      </c>
      <c r="GJ28" s="123">
        <v>6.846</v>
      </c>
      <c r="GK28" s="123">
        <v>43.599</v>
      </c>
      <c r="GL28" s="123">
        <v>30.662000000000003</v>
      </c>
      <c r="GM28" s="123">
        <v>72.382</v>
      </c>
      <c r="GN28" s="123">
        <v>53.254999999999995</v>
      </c>
      <c r="GO28" s="123">
        <v>4.3069999999999995</v>
      </c>
      <c r="GP28" s="123">
        <v>29.934</v>
      </c>
      <c r="GQ28" s="123">
        <v>5.142</v>
      </c>
      <c r="GR28" s="123">
        <v>41.353</v>
      </c>
      <c r="GS28" s="123">
        <v>70.01599999999999</v>
      </c>
      <c r="GT28" s="123">
        <v>26.14</v>
      </c>
      <c r="GU28" s="123">
        <v>42.347</v>
      </c>
      <c r="GV28" s="123">
        <v>45.866</v>
      </c>
      <c r="GW28" s="123">
        <v>12.187</v>
      </c>
      <c r="GX28" s="123">
        <v>49.124</v>
      </c>
      <c r="GY28" s="123">
        <v>5939.803</v>
      </c>
      <c r="GZ28" s="123">
        <v>105.633</v>
      </c>
      <c r="HA28" s="123">
        <v>974.378</v>
      </c>
      <c r="HB28" s="123">
        <v>416.44</v>
      </c>
      <c r="HC28" s="123">
        <v>39.283</v>
      </c>
      <c r="HD28" s="123">
        <v>1.0270000000000001</v>
      </c>
      <c r="HE28" s="123">
        <v>0.918</v>
      </c>
      <c r="HF28" s="123">
        <v>12.224</v>
      </c>
      <c r="HG28" s="123">
        <v>25.835</v>
      </c>
      <c r="HH28" s="123">
        <v>556.794</v>
      </c>
      <c r="HI28" s="123">
        <v>58.973000000000006</v>
      </c>
      <c r="HJ28" s="123">
        <v>21.769</v>
      </c>
      <c r="HK28" s="123">
        <v>200.10899999999998</v>
      </c>
      <c r="HL28" s="123">
        <v>19.562</v>
      </c>
      <c r="HM28" s="123">
        <v>13.274</v>
      </c>
      <c r="HN28" s="123">
        <v>20.093</v>
      </c>
      <c r="HO28" s="123">
        <v>35.143</v>
      </c>
      <c r="HP28" s="123">
        <v>74.69</v>
      </c>
      <c r="HQ28" s="123">
        <v>102.464</v>
      </c>
      <c r="HR28" s="123">
        <v>30.946999999999996</v>
      </c>
      <c r="HS28" s="123">
        <v>41.762</v>
      </c>
      <c r="HT28" s="123">
        <v>11.525999999999998</v>
      </c>
      <c r="HU28" s="123">
        <v>33.831</v>
      </c>
      <c r="HV28" s="123"/>
      <c r="HW28" s="123"/>
      <c r="HX28" s="123"/>
      <c r="HY28" s="123"/>
      <c r="HZ28" s="123"/>
      <c r="IA28" s="123"/>
      <c r="IB28" s="123"/>
      <c r="IC28" s="123"/>
      <c r="ID28" s="150">
        <f t="shared" si="32"/>
        <v>653.8259999999999</v>
      </c>
      <c r="IE28" s="150">
        <f t="shared" si="33"/>
        <v>118.066</v>
      </c>
    </row>
    <row r="29" spans="1:239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61"/>
      <c r="DW29" s="161"/>
      <c r="DX29" s="123"/>
      <c r="DY29" s="123"/>
      <c r="DZ29" s="123"/>
      <c r="EA29" s="123"/>
      <c r="EB29" s="123"/>
      <c r="EC29" s="123"/>
      <c r="ED29" s="123"/>
      <c r="EE29" s="123"/>
      <c r="EF29" s="150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50"/>
      <c r="IE29" s="150"/>
    </row>
    <row r="30" spans="1:239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50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47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50"/>
      <c r="IE30" s="150"/>
    </row>
    <row r="31" spans="1:239" ht="15.75">
      <c r="A31" s="130" t="s">
        <v>43</v>
      </c>
      <c r="B31" s="65">
        <f aca="true" t="shared" si="34" ref="B31:AW31">SUM(B33:B37)</f>
        <v>1960</v>
      </c>
      <c r="C31" s="65">
        <f t="shared" si="34"/>
        <v>1179</v>
      </c>
      <c r="D31" s="65">
        <f t="shared" si="34"/>
        <v>1044</v>
      </c>
      <c r="E31" s="65">
        <f t="shared" si="34"/>
        <v>1472</v>
      </c>
      <c r="F31" s="65">
        <f t="shared" si="34"/>
        <v>3329</v>
      </c>
      <c r="G31" s="65">
        <f t="shared" si="34"/>
        <v>4775</v>
      </c>
      <c r="H31" s="65">
        <f t="shared" si="34"/>
        <v>1471</v>
      </c>
      <c r="I31" s="65">
        <f t="shared" si="34"/>
        <v>1607</v>
      </c>
      <c r="J31" s="65">
        <f t="shared" si="34"/>
        <v>5713</v>
      </c>
      <c r="K31" s="65">
        <f t="shared" si="34"/>
        <v>4605</v>
      </c>
      <c r="L31" s="65">
        <f t="shared" si="34"/>
        <v>2134</v>
      </c>
      <c r="M31" s="65">
        <f t="shared" si="34"/>
        <v>2457</v>
      </c>
      <c r="N31" s="65">
        <f t="shared" si="34"/>
        <v>1093</v>
      </c>
      <c r="O31" s="65">
        <f t="shared" si="34"/>
        <v>2518</v>
      </c>
      <c r="P31" s="65">
        <f t="shared" si="34"/>
        <v>1710</v>
      </c>
      <c r="Q31" s="65">
        <f t="shared" si="34"/>
        <v>716</v>
      </c>
      <c r="R31" s="65">
        <f t="shared" si="34"/>
        <v>113</v>
      </c>
      <c r="S31" s="65">
        <f t="shared" si="34"/>
        <v>11</v>
      </c>
      <c r="T31" s="65">
        <f t="shared" si="34"/>
        <v>228</v>
      </c>
      <c r="U31" s="65">
        <f t="shared" si="34"/>
        <v>73</v>
      </c>
      <c r="V31" s="65">
        <f t="shared" si="34"/>
        <v>22</v>
      </c>
      <c r="W31" s="65">
        <f t="shared" si="34"/>
        <v>20</v>
      </c>
      <c r="X31" s="65">
        <f t="shared" si="34"/>
        <v>13</v>
      </c>
      <c r="Y31" s="65">
        <f t="shared" si="34"/>
        <v>4</v>
      </c>
      <c r="Z31" s="65">
        <f t="shared" si="34"/>
        <v>10</v>
      </c>
      <c r="AA31" s="65">
        <f t="shared" si="34"/>
        <v>224</v>
      </c>
      <c r="AB31" s="65">
        <f t="shared" si="34"/>
        <v>276</v>
      </c>
      <c r="AC31" s="65">
        <f t="shared" si="34"/>
        <v>1710</v>
      </c>
      <c r="AD31" s="65">
        <f t="shared" si="34"/>
        <v>2637</v>
      </c>
      <c r="AE31" s="65">
        <f t="shared" si="34"/>
        <v>41</v>
      </c>
      <c r="AF31" s="65">
        <f t="shared" si="34"/>
        <v>1179</v>
      </c>
      <c r="AG31" s="65">
        <f t="shared" si="34"/>
        <v>108</v>
      </c>
      <c r="AH31" s="65">
        <f t="shared" si="34"/>
        <v>121</v>
      </c>
      <c r="AI31" s="65">
        <f t="shared" si="34"/>
        <v>1</v>
      </c>
      <c r="AJ31" s="65">
        <f t="shared" si="34"/>
        <v>79</v>
      </c>
      <c r="AK31" s="65">
        <f t="shared" si="34"/>
        <v>372</v>
      </c>
      <c r="AL31" s="65">
        <f t="shared" si="34"/>
        <v>3</v>
      </c>
      <c r="AM31" s="65">
        <f t="shared" si="34"/>
        <v>90</v>
      </c>
      <c r="AN31" s="65">
        <f t="shared" si="34"/>
        <v>375</v>
      </c>
      <c r="AO31" s="65">
        <f t="shared" si="34"/>
        <v>107</v>
      </c>
      <c r="AP31" s="65">
        <f t="shared" si="34"/>
        <v>161</v>
      </c>
      <c r="AQ31" s="65">
        <f t="shared" si="34"/>
        <v>2637</v>
      </c>
      <c r="AR31" s="65">
        <f t="shared" si="34"/>
        <v>6853</v>
      </c>
      <c r="AS31" s="65">
        <f t="shared" si="34"/>
        <v>2776</v>
      </c>
      <c r="AT31" s="65">
        <f t="shared" si="34"/>
        <v>3396</v>
      </c>
      <c r="AU31" s="65">
        <f t="shared" si="34"/>
        <v>1457</v>
      </c>
      <c r="AV31" s="65">
        <f t="shared" si="34"/>
        <v>2865.2</v>
      </c>
      <c r="AW31" s="65">
        <f t="shared" si="34"/>
        <v>3591</v>
      </c>
      <c r="AX31" s="65">
        <f aca="true" t="shared" si="35" ref="AX31:CY31">SUM(AX33:AX37)</f>
        <v>275</v>
      </c>
      <c r="AY31" s="65">
        <f t="shared" si="35"/>
        <v>190</v>
      </c>
      <c r="AZ31" s="65">
        <f t="shared" si="35"/>
        <v>52</v>
      </c>
      <c r="BA31" s="65">
        <f t="shared" si="35"/>
        <v>93</v>
      </c>
      <c r="BB31" s="65">
        <f t="shared" si="35"/>
        <v>114</v>
      </c>
      <c r="BC31" s="65">
        <f t="shared" si="35"/>
        <v>72</v>
      </c>
      <c r="BD31" s="65">
        <f t="shared" si="35"/>
        <v>251</v>
      </c>
      <c r="BE31" s="65">
        <f t="shared" si="35"/>
        <v>108</v>
      </c>
      <c r="BF31" s="65">
        <f t="shared" si="35"/>
        <v>127</v>
      </c>
      <c r="BG31" s="65">
        <f t="shared" si="35"/>
        <v>161</v>
      </c>
      <c r="BH31" s="65">
        <f t="shared" si="35"/>
        <v>8</v>
      </c>
      <c r="BI31" s="65">
        <f t="shared" si="35"/>
        <v>6</v>
      </c>
      <c r="BJ31" s="65">
        <f t="shared" si="35"/>
        <v>1457</v>
      </c>
      <c r="BK31" s="65">
        <f t="shared" si="35"/>
        <v>79</v>
      </c>
      <c r="BL31" s="65">
        <f t="shared" si="35"/>
        <v>71</v>
      </c>
      <c r="BM31" s="65">
        <f t="shared" si="35"/>
        <v>52</v>
      </c>
      <c r="BN31" s="65">
        <f t="shared" si="35"/>
        <v>250</v>
      </c>
      <c r="BO31" s="65">
        <f t="shared" si="35"/>
        <v>131</v>
      </c>
      <c r="BP31" s="65">
        <f t="shared" si="35"/>
        <v>396</v>
      </c>
      <c r="BQ31" s="65">
        <f t="shared" si="35"/>
        <v>165.2</v>
      </c>
      <c r="BR31" s="65">
        <f t="shared" si="35"/>
        <v>758.3</v>
      </c>
      <c r="BS31" s="65">
        <f t="shared" si="35"/>
        <v>335.7</v>
      </c>
      <c r="BT31" s="65">
        <f t="shared" si="35"/>
        <v>119.6</v>
      </c>
      <c r="BU31" s="65">
        <f t="shared" si="35"/>
        <v>270.4</v>
      </c>
      <c r="BV31" s="65">
        <f t="shared" si="35"/>
        <v>237</v>
      </c>
      <c r="BW31" s="65">
        <f t="shared" si="35"/>
        <v>2865.2</v>
      </c>
      <c r="BX31" s="65">
        <f t="shared" si="35"/>
        <v>151</v>
      </c>
      <c r="BY31" s="65">
        <f t="shared" si="35"/>
        <v>239.2</v>
      </c>
      <c r="BZ31" s="65">
        <f t="shared" si="35"/>
        <v>247.9</v>
      </c>
      <c r="CA31" s="65">
        <f t="shared" si="35"/>
        <v>37.09999999999999</v>
      </c>
      <c r="CB31" s="65">
        <f t="shared" si="35"/>
        <v>604</v>
      </c>
      <c r="CC31" s="65">
        <f t="shared" si="35"/>
        <v>183</v>
      </c>
      <c r="CD31" s="65">
        <f t="shared" si="35"/>
        <v>1465.7</v>
      </c>
      <c r="CE31" s="65">
        <f t="shared" si="35"/>
        <v>71</v>
      </c>
      <c r="CF31" s="65">
        <f t="shared" si="35"/>
        <v>63</v>
      </c>
      <c r="CG31" s="65">
        <f t="shared" si="35"/>
        <v>81</v>
      </c>
      <c r="CH31" s="65">
        <f t="shared" si="35"/>
        <v>238</v>
      </c>
      <c r="CI31" s="65">
        <f t="shared" si="35"/>
        <v>213</v>
      </c>
      <c r="CJ31" s="65">
        <f t="shared" si="35"/>
        <v>3590.8</v>
      </c>
      <c r="CK31" s="65">
        <f t="shared" si="35"/>
        <v>480.8</v>
      </c>
      <c r="CL31" s="65">
        <f t="shared" si="35"/>
        <v>638.3</v>
      </c>
      <c r="CM31" s="65">
        <f t="shared" si="35"/>
        <v>675.3000000000001</v>
      </c>
      <c r="CN31" s="65">
        <f t="shared" si="35"/>
        <v>1273.3</v>
      </c>
      <c r="CO31" s="65">
        <f t="shared" si="35"/>
        <v>1459.7999999999997</v>
      </c>
      <c r="CP31" s="65">
        <f t="shared" si="35"/>
        <v>2925.8</v>
      </c>
      <c r="CQ31" s="65">
        <f t="shared" si="35"/>
        <v>2995.7</v>
      </c>
      <c r="CR31" s="65">
        <f t="shared" si="35"/>
        <v>3059.1000000000004</v>
      </c>
      <c r="CS31" s="65">
        <f t="shared" si="35"/>
        <v>2911.5</v>
      </c>
      <c r="CT31" s="65">
        <f t="shared" si="35"/>
        <v>3377.7</v>
      </c>
      <c r="CU31" s="65">
        <f t="shared" si="35"/>
        <v>3591.1000000000004</v>
      </c>
      <c r="CV31" s="65">
        <f t="shared" si="35"/>
        <v>2391.6000000000004</v>
      </c>
      <c r="CW31" s="65">
        <f t="shared" si="35"/>
        <v>870.1000000000001</v>
      </c>
      <c r="CX31" s="65">
        <f t="shared" si="35"/>
        <v>2123.2</v>
      </c>
      <c r="CY31" s="145">
        <f t="shared" si="35"/>
        <v>4858.392</v>
      </c>
      <c r="CZ31" s="125">
        <f aca="true" t="shared" si="36" ref="CZ31:EQ31">SUM(CZ33:CZ37)</f>
        <v>10470.394</v>
      </c>
      <c r="DA31" s="125">
        <f t="shared" si="36"/>
        <v>22486.663</v>
      </c>
      <c r="DB31" s="125">
        <f t="shared" si="36"/>
        <v>31199.521</v>
      </c>
      <c r="DC31" s="125">
        <f t="shared" si="36"/>
        <v>59760.046</v>
      </c>
      <c r="DD31" s="125">
        <f t="shared" si="36"/>
        <v>28331.462000000003</v>
      </c>
      <c r="DE31" s="125">
        <f t="shared" si="36"/>
        <v>24189.069</v>
      </c>
      <c r="DF31" s="125">
        <f t="shared" si="36"/>
        <v>61489.952999999994</v>
      </c>
      <c r="DG31" s="125">
        <f t="shared" si="36"/>
        <v>24.4</v>
      </c>
      <c r="DH31" s="125">
        <f t="shared" si="36"/>
        <v>459.4</v>
      </c>
      <c r="DI31" s="125">
        <f t="shared" si="36"/>
        <v>617.5</v>
      </c>
      <c r="DJ31" s="125">
        <f t="shared" si="36"/>
        <v>826.7</v>
      </c>
      <c r="DK31" s="125">
        <f t="shared" si="36"/>
        <v>932.8</v>
      </c>
      <c r="DL31" s="125">
        <f t="shared" si="36"/>
        <v>959.2</v>
      </c>
      <c r="DM31" s="125">
        <f t="shared" si="36"/>
        <v>1212.2000000000003</v>
      </c>
      <c r="DN31" s="125">
        <f t="shared" si="36"/>
        <v>1239.9</v>
      </c>
      <c r="DO31" s="125">
        <f t="shared" si="36"/>
        <v>1302</v>
      </c>
      <c r="DP31" s="125">
        <f t="shared" si="36"/>
        <v>1318.2</v>
      </c>
      <c r="DQ31" s="125">
        <f t="shared" si="36"/>
        <v>1552.2</v>
      </c>
      <c r="DR31" s="125">
        <f t="shared" si="36"/>
        <v>571</v>
      </c>
      <c r="DS31" s="125">
        <f t="shared" si="36"/>
        <v>2123.2</v>
      </c>
      <c r="DT31" s="125">
        <f t="shared" si="36"/>
        <v>316</v>
      </c>
      <c r="DU31" s="125">
        <f t="shared" si="36"/>
        <v>68</v>
      </c>
      <c r="DV31" s="125">
        <f t="shared" si="36"/>
        <v>150</v>
      </c>
      <c r="DW31" s="125">
        <f t="shared" si="36"/>
        <v>1141</v>
      </c>
      <c r="DX31" s="125">
        <f t="shared" si="36"/>
        <v>31.664</v>
      </c>
      <c r="DY31" s="125">
        <f t="shared" si="36"/>
        <v>253.18300000000002</v>
      </c>
      <c r="DZ31" s="125">
        <f t="shared" si="36"/>
        <v>59</v>
      </c>
      <c r="EA31" s="125">
        <f t="shared" si="36"/>
        <v>67.4</v>
      </c>
      <c r="EB31" s="125">
        <f t="shared" si="36"/>
        <v>149.69299999999998</v>
      </c>
      <c r="EC31" s="125">
        <f t="shared" si="36"/>
        <v>56.192</v>
      </c>
      <c r="ED31" s="125">
        <f t="shared" si="36"/>
        <v>1570</v>
      </c>
      <c r="EE31" s="125">
        <f t="shared" si="36"/>
        <v>996.26</v>
      </c>
      <c r="EF31" s="125">
        <f t="shared" si="36"/>
        <v>4858.392</v>
      </c>
      <c r="EG31" s="125">
        <f t="shared" si="36"/>
        <v>269</v>
      </c>
      <c r="EH31" s="125">
        <f t="shared" si="36"/>
        <v>852</v>
      </c>
      <c r="EI31" s="125">
        <f t="shared" si="36"/>
        <v>1043</v>
      </c>
      <c r="EJ31" s="125">
        <f t="shared" si="36"/>
        <v>401.461</v>
      </c>
      <c r="EK31" s="125">
        <f t="shared" si="36"/>
        <v>793</v>
      </c>
      <c r="EL31" s="125">
        <f t="shared" si="36"/>
        <v>1389</v>
      </c>
      <c r="EM31" s="125">
        <f t="shared" si="36"/>
        <v>527.4</v>
      </c>
      <c r="EN31" s="125">
        <f t="shared" si="36"/>
        <v>2004.29</v>
      </c>
      <c r="EO31" s="125">
        <f t="shared" si="36"/>
        <v>750.313</v>
      </c>
      <c r="EP31" s="125">
        <f t="shared" si="36"/>
        <v>293.43</v>
      </c>
      <c r="EQ31" s="125">
        <f t="shared" si="36"/>
        <v>672.8</v>
      </c>
      <c r="ER31" s="125">
        <f aca="true" t="shared" si="37" ref="ER31:HC31">SUM(ER33:ER37)</f>
        <v>1474.7</v>
      </c>
      <c r="ES31" s="125">
        <f t="shared" si="37"/>
        <v>10470.394</v>
      </c>
      <c r="ET31" s="125">
        <f t="shared" si="37"/>
        <v>2534.672</v>
      </c>
      <c r="EU31" s="125">
        <f t="shared" si="37"/>
        <v>860.81</v>
      </c>
      <c r="EV31" s="125">
        <f t="shared" si="37"/>
        <v>709.692</v>
      </c>
      <c r="EW31" s="125">
        <f t="shared" si="37"/>
        <v>1627.8200000000002</v>
      </c>
      <c r="EX31" s="125">
        <f t="shared" si="37"/>
        <v>4083.848</v>
      </c>
      <c r="EY31" s="125">
        <f t="shared" si="37"/>
        <v>2244.4</v>
      </c>
      <c r="EZ31" s="125">
        <f t="shared" si="37"/>
        <v>884.37</v>
      </c>
      <c r="FA31" s="125">
        <f t="shared" si="37"/>
        <v>745.874</v>
      </c>
      <c r="FB31" s="125">
        <f t="shared" si="37"/>
        <v>2654.7</v>
      </c>
      <c r="FC31" s="125">
        <f t="shared" si="37"/>
        <v>1796.9699999999998</v>
      </c>
      <c r="FD31" s="125">
        <f t="shared" si="37"/>
        <v>1278.874</v>
      </c>
      <c r="FE31" s="125">
        <f t="shared" si="37"/>
        <v>3064.6330000000003</v>
      </c>
      <c r="FF31" s="125">
        <f t="shared" si="37"/>
        <v>22486.663</v>
      </c>
      <c r="FG31" s="125">
        <f t="shared" si="37"/>
        <v>4498.497</v>
      </c>
      <c r="FH31" s="125">
        <f t="shared" si="37"/>
        <v>5357.409</v>
      </c>
      <c r="FI31" s="125">
        <f t="shared" si="37"/>
        <v>2085.099</v>
      </c>
      <c r="FJ31" s="125">
        <f t="shared" si="37"/>
        <v>456.858</v>
      </c>
      <c r="FK31" s="125">
        <f t="shared" si="37"/>
        <v>31.445000000000004</v>
      </c>
      <c r="FL31" s="125">
        <f t="shared" si="37"/>
        <v>230.60000000000002</v>
      </c>
      <c r="FM31" s="125">
        <f t="shared" si="37"/>
        <v>889.9670000000001</v>
      </c>
      <c r="FN31" s="125">
        <f t="shared" si="37"/>
        <v>455.397</v>
      </c>
      <c r="FO31" s="125">
        <f t="shared" si="37"/>
        <v>2708.712</v>
      </c>
      <c r="FP31" s="125">
        <f t="shared" si="37"/>
        <v>865.2</v>
      </c>
      <c r="FQ31" s="125">
        <f t="shared" si="37"/>
        <v>9746.337</v>
      </c>
      <c r="FR31" s="125">
        <f t="shared" si="37"/>
        <v>3874</v>
      </c>
      <c r="FS31" s="125">
        <f t="shared" si="37"/>
        <v>31199.520999999997</v>
      </c>
      <c r="FT31" s="125">
        <f t="shared" si="37"/>
        <v>5357.409</v>
      </c>
      <c r="FU31" s="125">
        <f t="shared" si="37"/>
        <v>7607.442</v>
      </c>
      <c r="FV31" s="125">
        <f t="shared" si="37"/>
        <v>4299.525</v>
      </c>
      <c r="FW31" s="125">
        <f t="shared" si="37"/>
        <v>2315.455</v>
      </c>
      <c r="FX31" s="125">
        <f t="shared" si="37"/>
        <v>2150.293</v>
      </c>
      <c r="FY31" s="125">
        <f t="shared" si="37"/>
        <v>2151.311</v>
      </c>
      <c r="FZ31" s="125">
        <f t="shared" si="37"/>
        <v>16269.575</v>
      </c>
      <c r="GA31" s="125">
        <f t="shared" si="37"/>
        <v>528.78</v>
      </c>
      <c r="GB31" s="125">
        <f t="shared" si="37"/>
        <v>3254.312</v>
      </c>
      <c r="GC31" s="125">
        <f t="shared" si="37"/>
        <v>8131.0560000000005</v>
      </c>
      <c r="GD31" s="125">
        <f t="shared" si="37"/>
        <v>3236.66</v>
      </c>
      <c r="GE31" s="125">
        <f t="shared" si="37"/>
        <v>6439.293</v>
      </c>
      <c r="GF31" s="125">
        <f t="shared" si="37"/>
        <v>3376.344</v>
      </c>
      <c r="GG31" s="125">
        <f t="shared" si="37"/>
        <v>59760.046</v>
      </c>
      <c r="GH31" s="125">
        <f t="shared" si="37"/>
        <v>3665.639</v>
      </c>
      <c r="GI31" s="125">
        <f t="shared" si="37"/>
        <v>5586.9580000000005</v>
      </c>
      <c r="GJ31" s="125">
        <f t="shared" si="37"/>
        <v>2243.62</v>
      </c>
      <c r="GK31" s="125">
        <f t="shared" si="37"/>
        <v>5039.441</v>
      </c>
      <c r="GL31" s="125">
        <f t="shared" si="37"/>
        <v>346.74</v>
      </c>
      <c r="GM31" s="125">
        <f t="shared" si="37"/>
        <v>3278.581</v>
      </c>
      <c r="GN31" s="125">
        <f t="shared" si="37"/>
        <v>5011.790999999999</v>
      </c>
      <c r="GO31" s="125">
        <f t="shared" si="37"/>
        <v>873.2139999999999</v>
      </c>
      <c r="GP31" s="125">
        <f t="shared" si="37"/>
        <v>231.293</v>
      </c>
      <c r="GQ31" s="125">
        <f t="shared" si="37"/>
        <v>4545.597</v>
      </c>
      <c r="GR31" s="125">
        <f t="shared" si="37"/>
        <v>5773.151</v>
      </c>
      <c r="GS31" s="125">
        <f t="shared" si="37"/>
        <v>7018.713</v>
      </c>
      <c r="GT31" s="125">
        <f t="shared" si="37"/>
        <v>186.005</v>
      </c>
      <c r="GU31" s="125">
        <f t="shared" si="37"/>
        <v>823.793</v>
      </c>
      <c r="GV31" s="125">
        <f t="shared" si="37"/>
        <v>362.022</v>
      </c>
      <c r="GW31" s="125">
        <f t="shared" si="37"/>
        <v>3257.779</v>
      </c>
      <c r="GX31" s="125">
        <f t="shared" si="37"/>
        <v>1178.637</v>
      </c>
      <c r="GY31" s="125">
        <f t="shared" si="37"/>
        <v>3431.436</v>
      </c>
      <c r="GZ31" s="125">
        <f t="shared" si="37"/>
        <v>2552.3379999999997</v>
      </c>
      <c r="HA31" s="125">
        <f t="shared" si="37"/>
        <v>1344.053</v>
      </c>
      <c r="HB31" s="125">
        <f t="shared" si="37"/>
        <v>2947.117</v>
      </c>
      <c r="HC31" s="125">
        <f t="shared" si="37"/>
        <v>3632.301</v>
      </c>
      <c r="HD31" s="125">
        <f>SUM(HD33:HD37)</f>
        <v>798.854</v>
      </c>
      <c r="HE31" s="125">
        <f aca="true" t="shared" si="38" ref="HE31:ID31">SUM(HE33:HE37)</f>
        <v>3674.734</v>
      </c>
      <c r="HF31" s="125">
        <f t="shared" si="38"/>
        <v>1450.2559999999999</v>
      </c>
      <c r="HG31" s="125">
        <f t="shared" si="38"/>
        <v>1358.144</v>
      </c>
      <c r="HH31" s="125">
        <f t="shared" si="38"/>
        <v>3135.694</v>
      </c>
      <c r="HI31" s="125">
        <f t="shared" si="38"/>
        <v>355.953</v>
      </c>
      <c r="HJ31" s="125">
        <f t="shared" si="38"/>
        <v>4708.709</v>
      </c>
      <c r="HK31" s="125">
        <f t="shared" si="38"/>
        <v>3292.1</v>
      </c>
      <c r="HL31" s="125">
        <f t="shared" si="38"/>
        <v>3956.483</v>
      </c>
      <c r="HM31" s="125">
        <f t="shared" si="38"/>
        <v>4624.429</v>
      </c>
      <c r="HN31" s="125">
        <f t="shared" si="38"/>
        <v>2051.037</v>
      </c>
      <c r="HO31" s="125">
        <f t="shared" si="38"/>
        <v>20120.853</v>
      </c>
      <c r="HP31" s="125">
        <f t="shared" si="38"/>
        <v>9560.526</v>
      </c>
      <c r="HQ31" s="125">
        <f t="shared" si="38"/>
        <v>6875.769</v>
      </c>
      <c r="HR31" s="125">
        <f t="shared" si="38"/>
        <v>5993.6410000000005</v>
      </c>
      <c r="HS31" s="125">
        <f t="shared" si="38"/>
        <v>2337.715</v>
      </c>
      <c r="HT31" s="125">
        <f t="shared" si="38"/>
        <v>17030.597999999998</v>
      </c>
      <c r="HU31" s="125">
        <f t="shared" si="38"/>
        <v>7333.2789999999995</v>
      </c>
      <c r="HV31" s="125">
        <f t="shared" si="38"/>
        <v>0</v>
      </c>
      <c r="HW31" s="125">
        <f t="shared" si="38"/>
        <v>0</v>
      </c>
      <c r="HX31" s="125">
        <f t="shared" si="38"/>
        <v>0</v>
      </c>
      <c r="HY31" s="125">
        <f t="shared" si="38"/>
        <v>0</v>
      </c>
      <c r="HZ31" s="125">
        <f t="shared" si="38"/>
        <v>0</v>
      </c>
      <c r="IA31" s="125">
        <f t="shared" si="38"/>
        <v>0</v>
      </c>
      <c r="IB31" s="125">
        <f t="shared" si="38"/>
        <v>0</v>
      </c>
      <c r="IC31" s="125">
        <f t="shared" si="38"/>
        <v>0</v>
      </c>
      <c r="ID31" s="125">
        <f t="shared" si="38"/>
        <v>6300.047000000001</v>
      </c>
      <c r="IE31" s="125">
        <f>SUM(IE33:IE37)</f>
        <v>32695.232999999997</v>
      </c>
    </row>
    <row r="32" spans="1:239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50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47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50"/>
      <c r="IE32" s="150"/>
    </row>
    <row r="33" spans="1:239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1568.7990000000002</v>
      </c>
      <c r="DG33" s="123">
        <v>0.9</v>
      </c>
      <c r="DH33" s="123">
        <v>43.9</v>
      </c>
      <c r="DI33" s="123">
        <v>196.4</v>
      </c>
      <c r="DJ33" s="123">
        <v>242.4</v>
      </c>
      <c r="DK33" s="123">
        <v>344.8</v>
      </c>
      <c r="DL33" s="123">
        <v>365.8</v>
      </c>
      <c r="DM33" s="123">
        <v>602.7</v>
      </c>
      <c r="DN33" s="123">
        <v>628.6</v>
      </c>
      <c r="DO33" s="123">
        <v>683.1</v>
      </c>
      <c r="DP33" s="123">
        <v>695.1</v>
      </c>
      <c r="DQ33" s="123">
        <v>737.1</v>
      </c>
      <c r="DR33" s="123">
        <v>30</v>
      </c>
      <c r="DS33" s="123">
        <f>DQ33+DR33</f>
        <v>767.1</v>
      </c>
      <c r="DT33" s="123">
        <v>25</v>
      </c>
      <c r="DU33" s="123">
        <v>65</v>
      </c>
      <c r="DV33" s="123">
        <v>63</v>
      </c>
      <c r="DW33" s="123">
        <v>10</v>
      </c>
      <c r="DX33" s="123">
        <f>'[1]Feuil2'!$D$35</f>
        <v>31.664</v>
      </c>
      <c r="DY33" s="123">
        <f>'[2]Feuil3'!$E$40</f>
        <v>1.196</v>
      </c>
      <c r="DZ33" s="123">
        <v>58</v>
      </c>
      <c r="EA33" s="123">
        <v>63</v>
      </c>
      <c r="EB33" s="123">
        <v>138.843</v>
      </c>
      <c r="EC33" s="123">
        <v>47.014</v>
      </c>
      <c r="ED33" s="123">
        <v>7</v>
      </c>
      <c r="EE33" s="123">
        <v>87</v>
      </c>
      <c r="EF33" s="150">
        <f>SUM(DT33:EE33)</f>
        <v>596.717</v>
      </c>
      <c r="EG33" s="123">
        <v>92</v>
      </c>
      <c r="EH33" s="123">
        <v>112</v>
      </c>
      <c r="EI33" s="123">
        <v>108</v>
      </c>
      <c r="EJ33" s="123">
        <v>27.3</v>
      </c>
      <c r="EK33" s="123">
        <v>97.2</v>
      </c>
      <c r="EL33" s="123">
        <v>925.2</v>
      </c>
      <c r="EM33" s="123">
        <v>497.6</v>
      </c>
      <c r="EN33" s="123">
        <v>1200.62</v>
      </c>
      <c r="EO33" s="123">
        <v>419.713</v>
      </c>
      <c r="EP33" s="123">
        <v>250.66</v>
      </c>
      <c r="EQ33" s="123">
        <v>427</v>
      </c>
      <c r="ER33" s="123">
        <v>462.6</v>
      </c>
      <c r="ES33" s="123">
        <f>SUM(EG33:ER33)</f>
        <v>4619.893</v>
      </c>
      <c r="ET33" s="123">
        <v>773.7</v>
      </c>
      <c r="EU33" s="123">
        <v>43.328</v>
      </c>
      <c r="EV33" s="123">
        <f>'[4]IV5-IV6'!$D$48</f>
        <v>108.142</v>
      </c>
      <c r="EW33" s="123">
        <v>1191.88</v>
      </c>
      <c r="EX33" s="123">
        <v>1259.858</v>
      </c>
      <c r="EY33" s="123">
        <v>1318.7</v>
      </c>
      <c r="EZ33" s="123">
        <v>530.089</v>
      </c>
      <c r="FA33" s="123">
        <v>433.174</v>
      </c>
      <c r="FB33" s="123">
        <v>535.8</v>
      </c>
      <c r="FC33" s="123">
        <v>149.998</v>
      </c>
      <c r="FD33" s="123">
        <v>572.806</v>
      </c>
      <c r="FE33" s="123">
        <v>9.576</v>
      </c>
      <c r="FF33" s="123">
        <f>SUM(ET33:FE33)</f>
        <v>6927.051</v>
      </c>
      <c r="FG33" s="123">
        <v>0.754</v>
      </c>
      <c r="FH33" s="123">
        <v>431.424</v>
      </c>
      <c r="FI33" s="123">
        <v>646.782</v>
      </c>
      <c r="FJ33" s="123">
        <f>'[5]IV5-IV6'!$C$64</f>
        <v>212.735</v>
      </c>
      <c r="FK33" s="123">
        <v>18.42</v>
      </c>
      <c r="FL33" s="123">
        <v>206.4</v>
      </c>
      <c r="FM33" s="123">
        <v>880.451</v>
      </c>
      <c r="FN33" s="123">
        <v>43.038</v>
      </c>
      <c r="FO33" s="123">
        <v>850.559</v>
      </c>
      <c r="FP33" s="123">
        <v>269.6</v>
      </c>
      <c r="FQ33" s="123">
        <v>128.624</v>
      </c>
      <c r="FR33" s="123">
        <v>350.7</v>
      </c>
      <c r="FS33" s="123">
        <f>+FG33+FH33+FI33+FJ33+FK33+FL33+FM33+FN33+FO33+FP33+FQ33+FR33</f>
        <v>4039.4869999999996</v>
      </c>
      <c r="FT33" s="123">
        <v>431.424</v>
      </c>
      <c r="FU33" s="123">
        <v>419.319</v>
      </c>
      <c r="FV33" s="123">
        <v>829.462</v>
      </c>
      <c r="FW33" s="123">
        <v>732.683</v>
      </c>
      <c r="FX33" s="123">
        <v>299.032</v>
      </c>
      <c r="FY33" s="123">
        <v>173.138</v>
      </c>
      <c r="FZ33" s="123">
        <v>1.601</v>
      </c>
      <c r="GA33" s="123">
        <v>20.193</v>
      </c>
      <c r="GB33" s="123">
        <v>66.092</v>
      </c>
      <c r="GC33" s="123">
        <v>37.874</v>
      </c>
      <c r="GD33" s="123">
        <v>205.049</v>
      </c>
      <c r="GE33" s="123">
        <v>789.325</v>
      </c>
      <c r="GF33" s="123">
        <v>185.544</v>
      </c>
      <c r="GG33" s="123">
        <f>SUM(FU33:GF33)</f>
        <v>3759.312</v>
      </c>
      <c r="GH33" s="123">
        <v>262.523</v>
      </c>
      <c r="GI33" s="123">
        <v>3.867</v>
      </c>
      <c r="GJ33" s="123">
        <v>6.815</v>
      </c>
      <c r="GK33" s="123">
        <v>54.339</v>
      </c>
      <c r="GL33" s="123">
        <v>5.257</v>
      </c>
      <c r="GM33" s="123">
        <v>27.153</v>
      </c>
      <c r="GN33" s="123">
        <v>8.998</v>
      </c>
      <c r="GO33" s="123">
        <v>154.499</v>
      </c>
      <c r="GP33" s="123">
        <v>9.472</v>
      </c>
      <c r="GQ33" s="123">
        <v>20.093</v>
      </c>
      <c r="GR33" s="123">
        <v>28.655</v>
      </c>
      <c r="GS33" s="123">
        <v>8.206</v>
      </c>
      <c r="GT33" s="123">
        <v>41.069</v>
      </c>
      <c r="GU33" s="123">
        <v>1.677</v>
      </c>
      <c r="GV33" s="123">
        <v>17.838</v>
      </c>
      <c r="GW33" s="123">
        <v>3.874</v>
      </c>
      <c r="GX33" s="123">
        <v>28.346</v>
      </c>
      <c r="GY33" s="123">
        <v>7.163</v>
      </c>
      <c r="GZ33" s="123">
        <v>278.079</v>
      </c>
      <c r="HA33" s="123">
        <v>546.558</v>
      </c>
      <c r="HB33" s="123">
        <v>484.281</v>
      </c>
      <c r="HC33" s="123">
        <v>64.534</v>
      </c>
      <c r="HD33" s="123">
        <v>1.549</v>
      </c>
      <c r="HE33" s="123">
        <v>0.502</v>
      </c>
      <c r="HF33" s="123">
        <v>263.465</v>
      </c>
      <c r="HG33" s="123">
        <v>170.016</v>
      </c>
      <c r="HH33" s="123">
        <v>1000.439</v>
      </c>
      <c r="HI33" s="123">
        <v>1.181</v>
      </c>
      <c r="HJ33" s="123">
        <v>1.595</v>
      </c>
      <c r="HK33" s="123">
        <v>5.305</v>
      </c>
      <c r="HL33" s="123">
        <v>8.227</v>
      </c>
      <c r="HM33" s="123">
        <v>10.221</v>
      </c>
      <c r="HN33" s="123">
        <v>7.829</v>
      </c>
      <c r="HO33" s="123">
        <v>33.105</v>
      </c>
      <c r="HP33" s="123">
        <v>3.539</v>
      </c>
      <c r="HQ33" s="123">
        <v>63.877</v>
      </c>
      <c r="HR33" s="123">
        <v>1.318</v>
      </c>
      <c r="HS33" s="123">
        <v>1.214</v>
      </c>
      <c r="HT33" s="123">
        <v>0.719</v>
      </c>
      <c r="HU33" s="123">
        <v>3.179</v>
      </c>
      <c r="HV33" s="123"/>
      <c r="HW33" s="123"/>
      <c r="HX33" s="123"/>
      <c r="HY33" s="123"/>
      <c r="HZ33" s="123"/>
      <c r="IA33" s="123"/>
      <c r="IB33" s="123"/>
      <c r="IC33" s="123"/>
      <c r="ID33" s="150">
        <f>HF33+HG33+HH33+HI33</f>
        <v>1435.101</v>
      </c>
      <c r="IE33" s="150">
        <f>HR33+HS33+HT33+HU33</f>
        <v>6.43</v>
      </c>
    </row>
    <row r="34" spans="1:239" ht="15.75">
      <c r="A34" s="131" t="s">
        <v>132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>
        <v>11301.887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 t="s">
        <v>36</v>
      </c>
      <c r="DR34" s="123"/>
      <c r="DS34" s="123" t="s">
        <v>36</v>
      </c>
      <c r="DT34" s="123" t="s">
        <v>36</v>
      </c>
      <c r="DU34" s="123">
        <v>0</v>
      </c>
      <c r="DV34" s="123">
        <v>0</v>
      </c>
      <c r="DW34" s="123" t="s">
        <v>36</v>
      </c>
      <c r="DX34" s="123" t="s">
        <v>36</v>
      </c>
      <c r="DY34" s="123">
        <v>0</v>
      </c>
      <c r="DZ34" s="123">
        <v>0</v>
      </c>
      <c r="EA34" s="123">
        <v>4</v>
      </c>
      <c r="EB34" s="123">
        <v>0</v>
      </c>
      <c r="EC34" s="123">
        <v>2.378</v>
      </c>
      <c r="ED34" s="123"/>
      <c r="EE34" s="123"/>
      <c r="EF34" s="150">
        <f>SUM(DT34:EE34)</f>
        <v>6.378</v>
      </c>
      <c r="EG34" s="123">
        <v>0</v>
      </c>
      <c r="EH34" s="123" t="s">
        <v>36</v>
      </c>
      <c r="EI34" s="123">
        <v>0</v>
      </c>
      <c r="EJ34" s="123">
        <v>0</v>
      </c>
      <c r="EK34" s="123"/>
      <c r="EL34" s="123"/>
      <c r="EM34" s="123"/>
      <c r="EN34" s="123">
        <v>0</v>
      </c>
      <c r="EO34" s="123">
        <v>0</v>
      </c>
      <c r="EP34" s="123">
        <v>0</v>
      </c>
      <c r="EQ34" s="123"/>
      <c r="ER34" s="123"/>
      <c r="ES34" s="123" t="s">
        <v>36</v>
      </c>
      <c r="ET34" s="123" t="s">
        <v>36</v>
      </c>
      <c r="EU34" s="123" t="s">
        <v>36</v>
      </c>
      <c r="EV34" s="123">
        <v>0</v>
      </c>
      <c r="EW34" s="123"/>
      <c r="EX34" s="123"/>
      <c r="EY34" s="123"/>
      <c r="EZ34" s="123"/>
      <c r="FA34" s="123">
        <v>63.4</v>
      </c>
      <c r="FB34" s="123"/>
      <c r="FC34" s="123">
        <v>207.637</v>
      </c>
      <c r="FD34" s="123">
        <v>1.776</v>
      </c>
      <c r="FE34" s="123">
        <v>3.646</v>
      </c>
      <c r="FF34" s="123">
        <f>SUM(ET34:FE34)</f>
        <v>276.459</v>
      </c>
      <c r="FG34" s="123"/>
      <c r="FH34" s="123">
        <v>3.211</v>
      </c>
      <c r="FI34" s="123">
        <v>0</v>
      </c>
      <c r="FJ34" s="123">
        <v>0</v>
      </c>
      <c r="FK34" s="123">
        <v>0.012</v>
      </c>
      <c r="FL34" s="123">
        <v>0</v>
      </c>
      <c r="FM34" s="123">
        <v>0</v>
      </c>
      <c r="FN34" s="123">
        <v>0</v>
      </c>
      <c r="FO34" s="123">
        <v>0</v>
      </c>
      <c r="FP34" s="123">
        <v>0</v>
      </c>
      <c r="FQ34" s="123">
        <v>0.765</v>
      </c>
      <c r="FR34" s="123">
        <v>0</v>
      </c>
      <c r="FS34" s="123">
        <f>+FG34+FH34+FI34+FJ34+FK34+FL34+FM34+FN34+FO34+FP34+FQ34+FR34</f>
        <v>3.988</v>
      </c>
      <c r="FT34" s="123">
        <v>3.211</v>
      </c>
      <c r="FU34" s="123"/>
      <c r="FV34" s="123">
        <v>0.037</v>
      </c>
      <c r="FW34" s="123">
        <v>0</v>
      </c>
      <c r="FX34" s="123">
        <v>0</v>
      </c>
      <c r="FY34" s="123">
        <v>0.213</v>
      </c>
      <c r="FZ34" s="123">
        <v>0</v>
      </c>
      <c r="GA34" s="123">
        <v>0.013</v>
      </c>
      <c r="GB34" s="123">
        <v>0.037</v>
      </c>
      <c r="GC34" s="123">
        <v>0.006</v>
      </c>
      <c r="GD34" s="123"/>
      <c r="GE34" s="123"/>
      <c r="GF34" s="123"/>
      <c r="GG34" s="123">
        <f>SUM(FU34:GF34)</f>
        <v>0.306</v>
      </c>
      <c r="GH34" s="123"/>
      <c r="GI34" s="123">
        <v>0</v>
      </c>
      <c r="GJ34" s="123"/>
      <c r="GK34" s="123">
        <v>0</v>
      </c>
      <c r="GL34" s="123"/>
      <c r="GM34" s="123"/>
      <c r="GN34" s="123"/>
      <c r="GO34" s="123">
        <v>0.023</v>
      </c>
      <c r="GP34" s="123"/>
      <c r="GQ34" s="123"/>
      <c r="GR34" s="123"/>
      <c r="GS34" s="123"/>
      <c r="GT34" s="123">
        <v>144.936</v>
      </c>
      <c r="GU34" s="123">
        <v>216.178</v>
      </c>
      <c r="GV34" s="123">
        <v>341.933</v>
      </c>
      <c r="GW34" s="123">
        <v>251.825</v>
      </c>
      <c r="GX34" s="123">
        <v>949.284</v>
      </c>
      <c r="GY34" s="123">
        <v>266.647</v>
      </c>
      <c r="GZ34" s="123">
        <v>352.259</v>
      </c>
      <c r="HA34" s="123">
        <v>500.616</v>
      </c>
      <c r="HB34" s="123">
        <v>435.59</v>
      </c>
      <c r="HC34" s="123">
        <v>396.825</v>
      </c>
      <c r="HD34" s="123">
        <v>794.849</v>
      </c>
      <c r="HE34" s="123">
        <v>393.023</v>
      </c>
      <c r="HF34" s="123">
        <v>1141.906</v>
      </c>
      <c r="HG34" s="123">
        <v>1002.128</v>
      </c>
      <c r="HH34" s="123">
        <v>1126.556</v>
      </c>
      <c r="HI34" s="123">
        <v>354.01</v>
      </c>
      <c r="HJ34" s="123">
        <v>659.635</v>
      </c>
      <c r="HK34" s="123">
        <v>224.782</v>
      </c>
      <c r="HL34" s="123">
        <v>921.626</v>
      </c>
      <c r="HM34" s="123">
        <v>1613.708</v>
      </c>
      <c r="HN34" s="123">
        <v>807.949</v>
      </c>
      <c r="HO34" s="123">
        <v>707.961</v>
      </c>
      <c r="HP34" s="123">
        <v>1392.265</v>
      </c>
      <c r="HQ34" s="123">
        <v>1349.361</v>
      </c>
      <c r="HR34" s="123">
        <v>402.204</v>
      </c>
      <c r="HS34" s="123">
        <v>191.494</v>
      </c>
      <c r="HT34" s="123">
        <v>412.167</v>
      </c>
      <c r="HU34" s="123">
        <v>785.378</v>
      </c>
      <c r="HV34" s="123"/>
      <c r="HW34" s="123"/>
      <c r="HX34" s="123"/>
      <c r="HY34" s="123"/>
      <c r="HZ34" s="123"/>
      <c r="IA34" s="123"/>
      <c r="IB34" s="123"/>
      <c r="IC34" s="123"/>
      <c r="ID34" s="150">
        <f>HF34+HG34+HH34+HI34</f>
        <v>3624.6000000000004</v>
      </c>
      <c r="IE34" s="150">
        <f>HR34+HS34+HT34+HU34</f>
        <v>1791.243</v>
      </c>
    </row>
    <row r="35" spans="1:239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102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48517.14599999999</v>
      </c>
      <c r="DG35" s="123">
        <v>2</v>
      </c>
      <c r="DH35" s="123">
        <v>2</v>
      </c>
      <c r="DI35" s="123">
        <v>2.2</v>
      </c>
      <c r="DJ35" s="123">
        <v>2.2</v>
      </c>
      <c r="DK35" s="123">
        <v>2</v>
      </c>
      <c r="DL35" s="123">
        <v>2.2</v>
      </c>
      <c r="DM35" s="123">
        <v>2.2</v>
      </c>
      <c r="DN35" s="123">
        <v>2.2</v>
      </c>
      <c r="DO35" s="123">
        <v>2.8</v>
      </c>
      <c r="DP35" s="123">
        <v>3</v>
      </c>
      <c r="DQ35" s="123">
        <v>193</v>
      </c>
      <c r="DR35" s="123">
        <v>540</v>
      </c>
      <c r="DS35" s="123">
        <f>DQ35+DR35</f>
        <v>733</v>
      </c>
      <c r="DT35" s="123">
        <v>155</v>
      </c>
      <c r="DU35" s="123">
        <v>0</v>
      </c>
      <c r="DV35" s="123">
        <v>0</v>
      </c>
      <c r="DW35" s="123" t="s">
        <v>36</v>
      </c>
      <c r="DX35" s="123" t="s">
        <v>36</v>
      </c>
      <c r="DY35" s="123">
        <v>0</v>
      </c>
      <c r="DZ35" s="123">
        <v>0</v>
      </c>
      <c r="EA35" s="123">
        <v>0</v>
      </c>
      <c r="EB35" s="123">
        <v>0</v>
      </c>
      <c r="EC35" s="123">
        <v>0</v>
      </c>
      <c r="ED35" s="123">
        <v>1022</v>
      </c>
      <c r="EE35" s="123">
        <v>905</v>
      </c>
      <c r="EF35" s="150">
        <f>SUM(DT35:EE35)</f>
        <v>2082</v>
      </c>
      <c r="EG35" s="123">
        <v>0</v>
      </c>
      <c r="EH35" s="123" t="s">
        <v>36</v>
      </c>
      <c r="EI35" s="123">
        <v>0</v>
      </c>
      <c r="EJ35" s="123">
        <v>0</v>
      </c>
      <c r="EK35" s="123"/>
      <c r="EL35" s="123">
        <v>18.2</v>
      </c>
      <c r="EM35" s="123"/>
      <c r="EN35" s="123">
        <v>0</v>
      </c>
      <c r="EO35" s="123">
        <v>0</v>
      </c>
      <c r="EP35" s="123">
        <v>0</v>
      </c>
      <c r="EQ35" s="123">
        <v>242</v>
      </c>
      <c r="ER35" s="123">
        <v>190</v>
      </c>
      <c r="ES35" s="123">
        <f>SUM(EG35:ER35)</f>
        <v>450.2</v>
      </c>
      <c r="ET35" s="123">
        <v>1091</v>
      </c>
      <c r="EU35" s="123" t="s">
        <v>36</v>
      </c>
      <c r="EV35" s="123">
        <v>0</v>
      </c>
      <c r="EW35" s="123"/>
      <c r="EX35" s="123"/>
      <c r="EY35" s="123"/>
      <c r="EZ35" s="123"/>
      <c r="FA35" s="123">
        <v>0</v>
      </c>
      <c r="FB35" s="123">
        <v>64.3</v>
      </c>
      <c r="FC35" s="123">
        <v>0</v>
      </c>
      <c r="FD35" s="123">
        <v>4.202</v>
      </c>
      <c r="FE35" s="123">
        <v>0</v>
      </c>
      <c r="FF35" s="123">
        <f>SUM(ET35:FE35)</f>
        <v>1159.502</v>
      </c>
      <c r="FG35" s="123">
        <v>2.514</v>
      </c>
      <c r="FH35" s="123">
        <v>547</v>
      </c>
      <c r="FI35" s="123">
        <v>0</v>
      </c>
      <c r="FJ35" s="123">
        <f>'[5]IV5-IV6'!$C$63</f>
        <v>0.92</v>
      </c>
      <c r="FK35" s="123">
        <v>0</v>
      </c>
      <c r="FL35" s="123">
        <v>0</v>
      </c>
      <c r="FM35" s="123">
        <v>0.177</v>
      </c>
      <c r="FN35" s="123">
        <v>0.184</v>
      </c>
      <c r="FO35" s="123">
        <v>0</v>
      </c>
      <c r="FP35" s="123">
        <v>504</v>
      </c>
      <c r="FQ35" s="123">
        <v>3044.916</v>
      </c>
      <c r="FR35" s="123">
        <v>2883.4</v>
      </c>
      <c r="FS35" s="123">
        <f>+FG35+FH35+FI35+FJ35+FK35+FL35+FM35+FN35+FO35+FP35+FQ35+FR35</f>
        <v>6983.111000000001</v>
      </c>
      <c r="FT35" s="123">
        <v>547</v>
      </c>
      <c r="FU35" s="123">
        <v>6243.24</v>
      </c>
      <c r="FV35" s="123">
        <v>2818.39</v>
      </c>
      <c r="FW35" s="123">
        <v>623.465</v>
      </c>
      <c r="FX35" s="123">
        <v>1202.5</v>
      </c>
      <c r="FY35" s="123">
        <v>1607</v>
      </c>
      <c r="FZ35" s="123">
        <v>15917</v>
      </c>
      <c r="GA35" s="123">
        <v>270</v>
      </c>
      <c r="GB35" s="123">
        <v>1185.466</v>
      </c>
      <c r="GC35" s="123">
        <v>4390</v>
      </c>
      <c r="GD35" s="123">
        <v>1495</v>
      </c>
      <c r="GE35" s="123">
        <v>4421</v>
      </c>
      <c r="GF35" s="123">
        <v>2468</v>
      </c>
      <c r="GG35" s="123">
        <f>SUM(FU35:GF35)</f>
        <v>42641.061</v>
      </c>
      <c r="GH35" s="123">
        <v>2284.7</v>
      </c>
      <c r="GI35" s="123">
        <v>4259.377</v>
      </c>
      <c r="GJ35" s="123">
        <v>1451.53</v>
      </c>
      <c r="GK35" s="123">
        <v>4269.73</v>
      </c>
      <c r="GL35" s="123"/>
      <c r="GM35" s="123">
        <v>2000</v>
      </c>
      <c r="GN35" s="123"/>
      <c r="GO35" s="123">
        <v>475</v>
      </c>
      <c r="GP35" s="123"/>
      <c r="GQ35" s="123">
        <v>4020</v>
      </c>
      <c r="GR35" s="123">
        <v>4820</v>
      </c>
      <c r="GS35" s="123">
        <v>6020</v>
      </c>
      <c r="GT35" s="123"/>
      <c r="GU35" s="123"/>
      <c r="GV35" s="123"/>
      <c r="GW35" s="123">
        <v>3000</v>
      </c>
      <c r="GX35" s="123">
        <v>201.007</v>
      </c>
      <c r="GY35" s="123">
        <v>3157.525</v>
      </c>
      <c r="GZ35" s="123">
        <v>1922</v>
      </c>
      <c r="HA35" s="123">
        <v>295.7</v>
      </c>
      <c r="HB35" s="123">
        <v>2010</v>
      </c>
      <c r="HC35" s="123">
        <v>3170.625</v>
      </c>
      <c r="HD35" s="123"/>
      <c r="HE35" s="123">
        <v>3281</v>
      </c>
      <c r="HF35" s="123">
        <v>44.35</v>
      </c>
      <c r="HG35" s="123">
        <v>186</v>
      </c>
      <c r="HH35" s="123">
        <v>1008.006</v>
      </c>
      <c r="HI35" s="123">
        <v>0.078</v>
      </c>
      <c r="HJ35" s="123">
        <v>4022.006</v>
      </c>
      <c r="HK35" s="123">
        <v>3000.013</v>
      </c>
      <c r="HL35" s="123">
        <v>3026.6</v>
      </c>
      <c r="HM35" s="123">
        <v>3000</v>
      </c>
      <c r="HN35" s="123">
        <v>1234.8</v>
      </c>
      <c r="HO35" s="123">
        <v>19368.456</v>
      </c>
      <c r="HP35" s="123">
        <v>8164.568</v>
      </c>
      <c r="HQ35" s="123">
        <v>5462.269</v>
      </c>
      <c r="HR35" s="123">
        <v>5590.069</v>
      </c>
      <c r="HS35" s="123">
        <v>2112.007</v>
      </c>
      <c r="HT35" s="123">
        <v>16498.725</v>
      </c>
      <c r="HU35" s="123">
        <v>6510.012</v>
      </c>
      <c r="HV35" s="123"/>
      <c r="HW35" s="123"/>
      <c r="HX35" s="123"/>
      <c r="HY35" s="123"/>
      <c r="HZ35" s="123"/>
      <c r="IA35" s="123"/>
      <c r="IB35" s="123"/>
      <c r="IC35" s="123"/>
      <c r="ID35" s="150">
        <f>HF35+HG35+HH35+HI35</f>
        <v>1238.434</v>
      </c>
      <c r="IE35" s="150">
        <f>HR35+HS35+HT35+HU35</f>
        <v>30710.813</v>
      </c>
    </row>
    <row r="36" spans="1:239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64">
        <v>0.217</v>
      </c>
      <c r="DG36" s="123" t="s">
        <v>36</v>
      </c>
      <c r="DH36" s="123" t="s">
        <v>36</v>
      </c>
      <c r="DI36" s="123" t="s">
        <v>36</v>
      </c>
      <c r="DJ36" s="123" t="s">
        <v>36</v>
      </c>
      <c r="DK36" s="123">
        <v>3</v>
      </c>
      <c r="DL36" s="123">
        <v>6.6</v>
      </c>
      <c r="DM36" s="123">
        <v>11.6</v>
      </c>
      <c r="DN36" s="123">
        <v>12.2</v>
      </c>
      <c r="DO36" s="123">
        <v>12.2</v>
      </c>
      <c r="DP36" s="123">
        <v>16.2</v>
      </c>
      <c r="DQ36" s="123">
        <v>18.2</v>
      </c>
      <c r="DR36" s="123"/>
      <c r="DS36" s="123">
        <f>DQ36+DR36</f>
        <v>18.2</v>
      </c>
      <c r="DT36" s="123">
        <v>15</v>
      </c>
      <c r="DU36" s="123">
        <v>2</v>
      </c>
      <c r="DV36" s="123">
        <v>0</v>
      </c>
      <c r="DW36" s="123" t="s">
        <v>36</v>
      </c>
      <c r="DX36" s="123" t="s">
        <v>36</v>
      </c>
      <c r="DY36" s="123">
        <f>'[2]Feuil3'!$E$35</f>
        <v>2.61</v>
      </c>
      <c r="DZ36" s="123">
        <v>1</v>
      </c>
      <c r="EA36" s="123">
        <v>0</v>
      </c>
      <c r="EB36" s="123">
        <v>7.5</v>
      </c>
      <c r="EC36" s="123">
        <v>0</v>
      </c>
      <c r="ED36" s="123"/>
      <c r="EE36" s="123"/>
      <c r="EF36" s="150">
        <f>SUM(DT36:EE36)</f>
        <v>28.11</v>
      </c>
      <c r="EG36" s="123">
        <v>0</v>
      </c>
      <c r="EH36" s="123" t="s">
        <v>36</v>
      </c>
      <c r="EI36" s="123">
        <v>0</v>
      </c>
      <c r="EJ36" s="123">
        <v>0</v>
      </c>
      <c r="EK36" s="123"/>
      <c r="EL36" s="123">
        <v>3.9</v>
      </c>
      <c r="EM36" s="123">
        <v>3.5</v>
      </c>
      <c r="EN36" s="123">
        <v>0</v>
      </c>
      <c r="EO36" s="123">
        <v>1</v>
      </c>
      <c r="EP36" s="123">
        <v>17.21</v>
      </c>
      <c r="EQ36" s="123">
        <v>3.8</v>
      </c>
      <c r="ER36" s="123"/>
      <c r="ES36" s="123">
        <f>SUM(EG36:ER36)</f>
        <v>29.41</v>
      </c>
      <c r="ET36" s="123" t="s">
        <v>36</v>
      </c>
      <c r="EU36" s="123" t="s">
        <v>36</v>
      </c>
      <c r="EV36" s="123">
        <v>0</v>
      </c>
      <c r="EW36" s="123"/>
      <c r="EX36" s="123"/>
      <c r="EY36" s="123"/>
      <c r="EZ36" s="123">
        <v>1.3</v>
      </c>
      <c r="FA36" s="123">
        <v>0</v>
      </c>
      <c r="FB36" s="123"/>
      <c r="FC36" s="123">
        <v>1.205</v>
      </c>
      <c r="FD36" s="123">
        <v>35.74</v>
      </c>
      <c r="FE36" s="123">
        <v>0</v>
      </c>
      <c r="FF36" s="123">
        <f>SUM(ET36:FE36)</f>
        <v>38.245000000000005</v>
      </c>
      <c r="FG36" s="123"/>
      <c r="FH36" s="123">
        <v>2.575</v>
      </c>
      <c r="FI36" s="123">
        <v>0</v>
      </c>
      <c r="FJ36" s="123">
        <f>'[5]IV5-IV6'!$C$62</f>
        <v>20</v>
      </c>
      <c r="FK36" s="123">
        <v>7.765</v>
      </c>
      <c r="FL36" s="123">
        <v>2.3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v>0</v>
      </c>
      <c r="FS36" s="123">
        <f>+FG36+FH36+FI36+FJ36+FK36+FL36+FM36+FN36+FO36+FP36+FQ36+FR36</f>
        <v>32.64</v>
      </c>
      <c r="FT36" s="123">
        <v>2.575</v>
      </c>
      <c r="FU36" s="123"/>
      <c r="FV36" s="123">
        <v>0</v>
      </c>
      <c r="FW36" s="123">
        <v>7.212</v>
      </c>
      <c r="FX36" s="123">
        <v>0</v>
      </c>
      <c r="FY36" s="123">
        <v>7.172</v>
      </c>
      <c r="FZ36" s="123">
        <v>0</v>
      </c>
      <c r="GA36" s="123">
        <v>0</v>
      </c>
      <c r="GB36" s="123"/>
      <c r="GC36" s="123"/>
      <c r="GD36" s="123">
        <v>1.171</v>
      </c>
      <c r="GE36" s="123">
        <v>6.942</v>
      </c>
      <c r="GF36" s="123">
        <v>0.01</v>
      </c>
      <c r="GG36" s="123">
        <f>SUM(FU36:GF36)</f>
        <v>22.507</v>
      </c>
      <c r="GH36" s="123">
        <v>7.021</v>
      </c>
      <c r="GI36" s="123">
        <v>0</v>
      </c>
      <c r="GJ36" s="123">
        <v>5.4</v>
      </c>
      <c r="GK36" s="123">
        <v>0</v>
      </c>
      <c r="GL36" s="123"/>
      <c r="GM36" s="123"/>
      <c r="GN36" s="123"/>
      <c r="GO36" s="123"/>
      <c r="GP36" s="123"/>
      <c r="GQ36" s="123">
        <v>6.96</v>
      </c>
      <c r="GR36" s="123">
        <v>0.045</v>
      </c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>
        <v>0.295</v>
      </c>
      <c r="HD36" s="123">
        <v>1.686</v>
      </c>
      <c r="HE36" s="123">
        <v>0.174</v>
      </c>
      <c r="HF36" s="123"/>
      <c r="HG36" s="123"/>
      <c r="HH36" s="123"/>
      <c r="HI36" s="123"/>
      <c r="HJ36" s="123">
        <v>0.124</v>
      </c>
      <c r="HK36" s="123">
        <v>0</v>
      </c>
      <c r="HL36" s="123"/>
      <c r="HM36" s="123"/>
      <c r="HN36" s="123"/>
      <c r="HO36" s="123">
        <v>0.093</v>
      </c>
      <c r="HP36" s="123"/>
      <c r="HQ36" s="123"/>
      <c r="HR36" s="123"/>
      <c r="HS36" s="123">
        <v>0</v>
      </c>
      <c r="HT36" s="123">
        <v>0</v>
      </c>
      <c r="HU36" s="123">
        <v>0</v>
      </c>
      <c r="HV36" s="123"/>
      <c r="HW36" s="123"/>
      <c r="HX36" s="123"/>
      <c r="HY36" s="123"/>
      <c r="HZ36" s="123"/>
      <c r="IA36" s="123"/>
      <c r="IB36" s="123"/>
      <c r="IC36" s="123"/>
      <c r="ID36" s="150">
        <f>HF36+HG36+HH36+HI36</f>
        <v>0</v>
      </c>
      <c r="IE36" s="150">
        <f>HR36+HS36+HT36+HU36</f>
        <v>0</v>
      </c>
    </row>
    <row r="37" spans="1:239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101.904</v>
      </c>
      <c r="DG37" s="123">
        <v>21.5</v>
      </c>
      <c r="DH37" s="123">
        <v>413.5</v>
      </c>
      <c r="DI37" s="123">
        <v>418.9</v>
      </c>
      <c r="DJ37" s="123">
        <v>582.1</v>
      </c>
      <c r="DK37" s="123">
        <v>583</v>
      </c>
      <c r="DL37" s="123">
        <v>584.6</v>
      </c>
      <c r="DM37" s="123">
        <v>595.7</v>
      </c>
      <c r="DN37" s="123">
        <v>596.9</v>
      </c>
      <c r="DO37" s="123">
        <v>603.9</v>
      </c>
      <c r="DP37" s="123">
        <v>603.9</v>
      </c>
      <c r="DQ37" s="123">
        <v>603.9</v>
      </c>
      <c r="DR37" s="123">
        <v>1</v>
      </c>
      <c r="DS37" s="123">
        <f>DQ37+DR37</f>
        <v>604.9</v>
      </c>
      <c r="DT37" s="123">
        <v>121</v>
      </c>
      <c r="DU37" s="123">
        <v>1</v>
      </c>
      <c r="DV37" s="123">
        <v>87</v>
      </c>
      <c r="DW37" s="123">
        <f>1131</f>
        <v>1131</v>
      </c>
      <c r="DX37" s="123">
        <v>0</v>
      </c>
      <c r="DY37" s="123">
        <f>'[2]Feuil3'!$E$39+'[2]Feuil3'!$E$44+'[2]Feuil3'!$E$45</f>
        <v>249.377</v>
      </c>
      <c r="DZ37" s="123">
        <f>0</f>
        <v>0</v>
      </c>
      <c r="EA37" s="123">
        <f>0.4</f>
        <v>0.4</v>
      </c>
      <c r="EB37" s="123">
        <v>3.35</v>
      </c>
      <c r="EC37" s="123">
        <v>6.8</v>
      </c>
      <c r="ED37" s="123">
        <f>40+500+1</f>
        <v>541</v>
      </c>
      <c r="EE37" s="123">
        <f>2+1+1+0.26</f>
        <v>4.26</v>
      </c>
      <c r="EF37" s="150">
        <f>SUM(DT37:EE37)</f>
        <v>2145.187</v>
      </c>
      <c r="EG37" s="123">
        <f>15+162</f>
        <v>177</v>
      </c>
      <c r="EH37" s="123">
        <f>740</f>
        <v>740</v>
      </c>
      <c r="EI37" s="123">
        <f>500+435</f>
        <v>935</v>
      </c>
      <c r="EJ37" s="123">
        <v>374.161</v>
      </c>
      <c r="EK37" s="123">
        <f>3.8+692</f>
        <v>695.8</v>
      </c>
      <c r="EL37" s="123">
        <v>441.7</v>
      </c>
      <c r="EM37" s="123">
        <f>1+25.3</f>
        <v>26.3</v>
      </c>
      <c r="EN37" s="123">
        <f>803.66+0.01</f>
        <v>803.67</v>
      </c>
      <c r="EO37" s="123">
        <v>329.59999999999997</v>
      </c>
      <c r="EP37" s="123">
        <v>25.56</v>
      </c>
      <c r="EQ37" s="123"/>
      <c r="ER37" s="123">
        <f>0.4+1.7+820</f>
        <v>822.1</v>
      </c>
      <c r="ES37" s="123">
        <f>SUM(EG37:ER37)</f>
        <v>5370.891000000001</v>
      </c>
      <c r="ET37" s="123">
        <v>669.972</v>
      </c>
      <c r="EU37" s="123">
        <v>817.482</v>
      </c>
      <c r="EV37" s="123">
        <f>'[4]IV5-IV6'!$D$46+'[4]IV5-IV6'!$D$38</f>
        <v>601.55</v>
      </c>
      <c r="EW37" s="123">
        <f>6.91+0.15+0.1+428.78</f>
        <v>435.94</v>
      </c>
      <c r="EX37" s="123">
        <f>828.99+1995</f>
        <v>2823.99</v>
      </c>
      <c r="EY37" s="123">
        <f>0.5+37+0.1+888.1</f>
        <v>925.7</v>
      </c>
      <c r="EZ37" s="123">
        <v>352.981</v>
      </c>
      <c r="FA37" s="123">
        <v>249.3</v>
      </c>
      <c r="FB37" s="123">
        <v>2054.6</v>
      </c>
      <c r="FC37" s="123">
        <v>1438.1299999999999</v>
      </c>
      <c r="FD37" s="123">
        <v>664.35</v>
      </c>
      <c r="FE37" s="123">
        <v>3051.411</v>
      </c>
      <c r="FF37" s="123">
        <f>SUM(ET37:FE37)</f>
        <v>14085.405999999999</v>
      </c>
      <c r="FG37" s="123">
        <v>4495.229</v>
      </c>
      <c r="FH37" s="123">
        <v>4373.199</v>
      </c>
      <c r="FI37" s="123">
        <v>1438.317</v>
      </c>
      <c r="FJ37" s="123">
        <f>'[5]IV5-IV6'!$C$60+'[5]IV5-IV6'!$C$61+'[5]IV5-IV6'!$C$65+'[5]IV5-IV6'!$C$66</f>
        <v>223.203</v>
      </c>
      <c r="FK37" s="123">
        <v>5.248</v>
      </c>
      <c r="FL37" s="123">
        <f>10.5+10+0.4+1</f>
        <v>21.9</v>
      </c>
      <c r="FM37" s="123">
        <v>9.339</v>
      </c>
      <c r="FN37" s="123">
        <v>412.175</v>
      </c>
      <c r="FO37" s="123">
        <v>1858.153</v>
      </c>
      <c r="FP37" s="123">
        <f>59.4+30.7+1.5</f>
        <v>91.6</v>
      </c>
      <c r="FQ37" s="123">
        <v>6572.032</v>
      </c>
      <c r="FR37" s="123">
        <v>639.9000000000001</v>
      </c>
      <c r="FS37" s="123">
        <f>+FG37+FH37+FI37+FJ37+FK37+FL37+FM37+FN37+FO37+FP37+FQ37+FR37</f>
        <v>20140.295</v>
      </c>
      <c r="FT37" s="123">
        <v>4373.199</v>
      </c>
      <c r="FU37" s="123">
        <v>944.883</v>
      </c>
      <c r="FV37" s="123">
        <v>651.636</v>
      </c>
      <c r="FW37" s="123">
        <v>952.095</v>
      </c>
      <c r="FX37" s="123">
        <v>648.7610000000001</v>
      </c>
      <c r="FY37" s="123">
        <v>363.788</v>
      </c>
      <c r="FZ37" s="123">
        <v>350.97400000000005</v>
      </c>
      <c r="GA37" s="123">
        <v>238.574</v>
      </c>
      <c r="GB37" s="123">
        <v>2002.717</v>
      </c>
      <c r="GC37" s="123">
        <v>3703.1760000000004</v>
      </c>
      <c r="GD37" s="123">
        <v>1535.44</v>
      </c>
      <c r="GE37" s="123">
        <v>1222.0259999999998</v>
      </c>
      <c r="GF37" s="123">
        <v>722.79</v>
      </c>
      <c r="GG37" s="123">
        <f>SUM(FU37:GF37)</f>
        <v>13336.86</v>
      </c>
      <c r="GH37" s="123">
        <v>1111.395</v>
      </c>
      <c r="GI37" s="123">
        <v>1323.7140000000002</v>
      </c>
      <c r="GJ37" s="123">
        <v>779.875</v>
      </c>
      <c r="GK37" s="123">
        <v>715.372</v>
      </c>
      <c r="GL37" s="123">
        <v>341.483</v>
      </c>
      <c r="GM37" s="123">
        <v>1251.4279999999999</v>
      </c>
      <c r="GN37" s="123">
        <v>5002.793</v>
      </c>
      <c r="GO37" s="123">
        <v>243.692</v>
      </c>
      <c r="GP37" s="123">
        <v>221.821</v>
      </c>
      <c r="GQ37" s="123">
        <v>498.54400000000004</v>
      </c>
      <c r="GR37" s="123">
        <v>924.4509999999999</v>
      </c>
      <c r="GS37" s="123">
        <v>990.507</v>
      </c>
      <c r="GT37" s="123"/>
      <c r="GU37" s="123">
        <v>605.938</v>
      </c>
      <c r="GV37" s="123">
        <v>2.251</v>
      </c>
      <c r="GW37" s="123">
        <v>2.08</v>
      </c>
      <c r="GX37" s="123"/>
      <c r="GY37" s="123">
        <v>0.101</v>
      </c>
      <c r="GZ37" s="123"/>
      <c r="HA37" s="123">
        <v>1.1789999999999998</v>
      </c>
      <c r="HB37" s="123">
        <v>17.246000000000002</v>
      </c>
      <c r="HC37" s="123">
        <v>0.022</v>
      </c>
      <c r="HD37" s="123">
        <v>0.77</v>
      </c>
      <c r="HE37" s="123">
        <v>0.035</v>
      </c>
      <c r="HF37" s="123">
        <v>0.535</v>
      </c>
      <c r="HG37" s="123"/>
      <c r="HH37" s="123">
        <v>0.693</v>
      </c>
      <c r="HI37" s="123">
        <v>0.684</v>
      </c>
      <c r="HJ37" s="123">
        <v>25.349</v>
      </c>
      <c r="HK37" s="123">
        <v>62</v>
      </c>
      <c r="HL37" s="123">
        <v>0.03</v>
      </c>
      <c r="HM37" s="123">
        <v>0.5</v>
      </c>
      <c r="HN37" s="123">
        <v>0.459</v>
      </c>
      <c r="HO37" s="123">
        <v>11.238</v>
      </c>
      <c r="HP37" s="123">
        <v>0.154</v>
      </c>
      <c r="HQ37" s="123">
        <v>0.262</v>
      </c>
      <c r="HR37" s="123">
        <v>0.05</v>
      </c>
      <c r="HS37" s="123">
        <v>33</v>
      </c>
      <c r="HT37" s="123">
        <v>118.987</v>
      </c>
      <c r="HU37" s="123">
        <v>34.71</v>
      </c>
      <c r="HV37" s="123"/>
      <c r="HW37" s="123"/>
      <c r="HX37" s="123"/>
      <c r="HY37" s="123"/>
      <c r="HZ37" s="123"/>
      <c r="IA37" s="123"/>
      <c r="IB37" s="123"/>
      <c r="IC37" s="123"/>
      <c r="ID37" s="150">
        <f>HF37+HG37+HH37+HI37</f>
        <v>1.912</v>
      </c>
      <c r="IE37" s="150">
        <f>HR37+HS37+HT37+HU37</f>
        <v>186.74699999999999</v>
      </c>
    </row>
    <row r="38" spans="1:239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50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47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50"/>
      <c r="IE38" s="150"/>
    </row>
    <row r="39" spans="1:239" ht="15.75">
      <c r="A39" s="130" t="s">
        <v>48</v>
      </c>
      <c r="B39" s="65">
        <f aca="true" t="shared" si="39" ref="B39:AW39">SUM(B41:B53)</f>
        <v>55928</v>
      </c>
      <c r="C39" s="65">
        <f t="shared" si="39"/>
        <v>77457</v>
      </c>
      <c r="D39" s="65">
        <f t="shared" si="39"/>
        <v>59247</v>
      </c>
      <c r="E39" s="65">
        <f t="shared" si="39"/>
        <v>71750</v>
      </c>
      <c r="F39" s="65">
        <f t="shared" si="39"/>
        <v>78180</v>
      </c>
      <c r="G39" s="65">
        <f t="shared" si="39"/>
        <v>67871</v>
      </c>
      <c r="H39" s="65">
        <f t="shared" si="39"/>
        <v>81295</v>
      </c>
      <c r="I39" s="65">
        <f t="shared" si="39"/>
        <v>38740</v>
      </c>
      <c r="J39" s="65">
        <f t="shared" si="39"/>
        <v>58032</v>
      </c>
      <c r="K39" s="65">
        <f t="shared" si="39"/>
        <v>94930</v>
      </c>
      <c r="L39" s="65">
        <f t="shared" si="39"/>
        <v>83283</v>
      </c>
      <c r="M39" s="65">
        <f t="shared" si="39"/>
        <v>56413</v>
      </c>
      <c r="N39" s="65">
        <f t="shared" si="39"/>
        <v>31994</v>
      </c>
      <c r="O39" s="65">
        <f t="shared" si="39"/>
        <v>57241</v>
      </c>
      <c r="P39" s="65">
        <f t="shared" si="39"/>
        <v>56898</v>
      </c>
      <c r="Q39" s="65">
        <f t="shared" si="39"/>
        <v>6317</v>
      </c>
      <c r="R39" s="65">
        <f t="shared" si="39"/>
        <v>3589</v>
      </c>
      <c r="S39" s="65">
        <f t="shared" si="39"/>
        <v>4272</v>
      </c>
      <c r="T39" s="65">
        <f t="shared" si="39"/>
        <v>3516</v>
      </c>
      <c r="U39" s="65">
        <f t="shared" si="39"/>
        <v>4602</v>
      </c>
      <c r="V39" s="65">
        <f t="shared" si="39"/>
        <v>5923</v>
      </c>
      <c r="W39" s="65">
        <f t="shared" si="39"/>
        <v>4176</v>
      </c>
      <c r="X39" s="65">
        <f t="shared" si="39"/>
        <v>3234</v>
      </c>
      <c r="Y39" s="65">
        <f t="shared" si="39"/>
        <v>5673</v>
      </c>
      <c r="Z39" s="65">
        <f t="shared" si="39"/>
        <v>3674</v>
      </c>
      <c r="AA39" s="65">
        <f t="shared" si="39"/>
        <v>5857</v>
      </c>
      <c r="AB39" s="65">
        <f t="shared" si="39"/>
        <v>6065</v>
      </c>
      <c r="AC39" s="65">
        <f t="shared" si="39"/>
        <v>56898</v>
      </c>
      <c r="AD39" s="65">
        <f t="shared" si="39"/>
        <v>52303</v>
      </c>
      <c r="AE39" s="65">
        <f t="shared" si="39"/>
        <v>2910</v>
      </c>
      <c r="AF39" s="65">
        <f t="shared" si="39"/>
        <v>4498</v>
      </c>
      <c r="AG39" s="65">
        <f t="shared" si="39"/>
        <v>6495</v>
      </c>
      <c r="AH39" s="65">
        <f t="shared" si="39"/>
        <v>6959</v>
      </c>
      <c r="AI39" s="65">
        <f t="shared" si="39"/>
        <v>5323</v>
      </c>
      <c r="AJ39" s="65">
        <f t="shared" si="39"/>
        <v>6024</v>
      </c>
      <c r="AK39" s="65">
        <f t="shared" si="39"/>
        <v>4083</v>
      </c>
      <c r="AL39" s="65">
        <f t="shared" si="39"/>
        <v>3724</v>
      </c>
      <c r="AM39" s="65">
        <f t="shared" si="39"/>
        <v>1476</v>
      </c>
      <c r="AN39" s="65">
        <f t="shared" si="39"/>
        <v>3085</v>
      </c>
      <c r="AO39" s="65">
        <f t="shared" si="39"/>
        <v>3194</v>
      </c>
      <c r="AP39" s="65">
        <f t="shared" si="39"/>
        <v>4532</v>
      </c>
      <c r="AQ39" s="65">
        <f t="shared" si="39"/>
        <v>52303</v>
      </c>
      <c r="AR39" s="65">
        <f t="shared" si="39"/>
        <v>51075</v>
      </c>
      <c r="AS39" s="65">
        <f t="shared" si="39"/>
        <v>26988</v>
      </c>
      <c r="AT39" s="65">
        <f t="shared" si="39"/>
        <v>22822</v>
      </c>
      <c r="AU39" s="65">
        <f t="shared" si="39"/>
        <v>23566</v>
      </c>
      <c r="AV39" s="65">
        <f t="shared" si="39"/>
        <v>39422</v>
      </c>
      <c r="AW39" s="65">
        <f t="shared" si="39"/>
        <v>111824</v>
      </c>
      <c r="AX39" s="65">
        <f aca="true" t="shared" si="40" ref="AX39:CY39">SUM(AX41:AX53)</f>
        <v>1523</v>
      </c>
      <c r="AY39" s="65">
        <f t="shared" si="40"/>
        <v>1455</v>
      </c>
      <c r="AZ39" s="65">
        <f t="shared" si="40"/>
        <v>3024</v>
      </c>
      <c r="BA39" s="65">
        <f t="shared" si="40"/>
        <v>2305</v>
      </c>
      <c r="BB39" s="65">
        <f t="shared" si="40"/>
        <v>1851</v>
      </c>
      <c r="BC39" s="65">
        <f t="shared" si="40"/>
        <v>1552</v>
      </c>
      <c r="BD39" s="65">
        <f t="shared" si="40"/>
        <v>1673</v>
      </c>
      <c r="BE39" s="65">
        <f t="shared" si="40"/>
        <v>2290</v>
      </c>
      <c r="BF39" s="65">
        <f t="shared" si="40"/>
        <v>2802</v>
      </c>
      <c r="BG39" s="65">
        <f t="shared" si="40"/>
        <v>1563</v>
      </c>
      <c r="BH39" s="65">
        <f t="shared" si="40"/>
        <v>1640</v>
      </c>
      <c r="BI39" s="65">
        <f t="shared" si="40"/>
        <v>1888</v>
      </c>
      <c r="BJ39" s="65">
        <f t="shared" si="40"/>
        <v>23566</v>
      </c>
      <c r="BK39" s="65">
        <f t="shared" si="40"/>
        <v>1526</v>
      </c>
      <c r="BL39" s="65">
        <f t="shared" si="40"/>
        <v>1466</v>
      </c>
      <c r="BM39" s="65">
        <f t="shared" si="40"/>
        <v>3024</v>
      </c>
      <c r="BN39" s="65">
        <f t="shared" si="40"/>
        <v>2018</v>
      </c>
      <c r="BO39" s="65">
        <f t="shared" si="40"/>
        <v>2115</v>
      </c>
      <c r="BP39" s="65">
        <f t="shared" si="40"/>
        <v>2369</v>
      </c>
      <c r="BQ39" s="65">
        <f t="shared" si="40"/>
        <v>3274.1000000000004</v>
      </c>
      <c r="BR39" s="65">
        <f t="shared" si="40"/>
        <v>2536.4</v>
      </c>
      <c r="BS39" s="65">
        <f t="shared" si="40"/>
        <v>3895.7999999999997</v>
      </c>
      <c r="BT39" s="65">
        <f t="shared" si="40"/>
        <v>3675.9000000000005</v>
      </c>
      <c r="BU39" s="65">
        <f t="shared" si="40"/>
        <v>5137.799999999999</v>
      </c>
      <c r="BV39" s="65">
        <f t="shared" si="40"/>
        <v>8384</v>
      </c>
      <c r="BW39" s="65">
        <f t="shared" si="40"/>
        <v>39422</v>
      </c>
      <c r="BX39" s="65">
        <f t="shared" si="40"/>
        <v>6943</v>
      </c>
      <c r="BY39" s="65">
        <f t="shared" si="40"/>
        <v>8268.2</v>
      </c>
      <c r="BZ39" s="65">
        <f t="shared" si="40"/>
        <v>7864.700000000002</v>
      </c>
      <c r="CA39" s="65">
        <f t="shared" si="40"/>
        <v>9833.1</v>
      </c>
      <c r="CB39" s="65">
        <f t="shared" si="40"/>
        <v>7073.000000000001</v>
      </c>
      <c r="CC39" s="65">
        <f t="shared" si="40"/>
        <v>10556.500000000002</v>
      </c>
      <c r="CD39" s="65">
        <f t="shared" si="40"/>
        <v>9721.3</v>
      </c>
      <c r="CE39" s="65">
        <f t="shared" si="40"/>
        <v>15524.899999999996</v>
      </c>
      <c r="CF39" s="65">
        <f t="shared" si="40"/>
        <v>10445.599999999999</v>
      </c>
      <c r="CG39" s="65">
        <f t="shared" si="40"/>
        <v>8467.600000000013</v>
      </c>
      <c r="CH39" s="65">
        <f t="shared" si="40"/>
        <v>10178.100000000004</v>
      </c>
      <c r="CI39" s="65">
        <f t="shared" si="40"/>
        <v>6947.999999999989</v>
      </c>
      <c r="CJ39" s="65">
        <f t="shared" si="40"/>
        <v>111824</v>
      </c>
      <c r="CK39" s="65">
        <f t="shared" si="40"/>
        <v>15211.3</v>
      </c>
      <c r="CL39" s="65">
        <f t="shared" si="40"/>
        <v>23075.9</v>
      </c>
      <c r="CM39" s="65">
        <f t="shared" si="40"/>
        <v>32909</v>
      </c>
      <c r="CN39" s="65">
        <f t="shared" si="40"/>
        <v>39982</v>
      </c>
      <c r="CO39" s="65">
        <f t="shared" si="40"/>
        <v>50538.49999999999</v>
      </c>
      <c r="CP39" s="65">
        <f t="shared" si="40"/>
        <v>60259.80000000002</v>
      </c>
      <c r="CQ39" s="65">
        <f t="shared" si="40"/>
        <v>75784.7</v>
      </c>
      <c r="CR39" s="65">
        <f t="shared" si="40"/>
        <v>86230.3</v>
      </c>
      <c r="CS39" s="65">
        <f t="shared" si="40"/>
        <v>94697.9</v>
      </c>
      <c r="CT39" s="65">
        <f t="shared" si="40"/>
        <v>104876</v>
      </c>
      <c r="CU39" s="65">
        <f t="shared" si="40"/>
        <v>111824</v>
      </c>
      <c r="CV39" s="65">
        <f t="shared" si="40"/>
        <v>92227.8</v>
      </c>
      <c r="CW39" s="65">
        <f t="shared" si="40"/>
        <v>109525.1</v>
      </c>
      <c r="CX39" s="65">
        <f t="shared" si="40"/>
        <v>96491.5</v>
      </c>
      <c r="CY39" s="145">
        <f t="shared" si="40"/>
        <v>153857.23607506705</v>
      </c>
      <c r="CZ39" s="125">
        <f aca="true" t="shared" si="41" ref="CZ39:EQ39">SUM(CZ41:CZ53)</f>
        <v>189623.4629999999</v>
      </c>
      <c r="DA39" s="125">
        <f t="shared" si="41"/>
        <v>178088.97</v>
      </c>
      <c r="DB39" s="125">
        <f t="shared" si="41"/>
        <v>254167.63304199997</v>
      </c>
      <c r="DC39" s="125">
        <f t="shared" si="41"/>
        <v>249361.708</v>
      </c>
      <c r="DD39" s="125">
        <f t="shared" si="41"/>
        <v>231054.70500000005</v>
      </c>
      <c r="DE39" s="125">
        <f t="shared" si="41"/>
        <v>250149.775</v>
      </c>
      <c r="DF39" s="125">
        <f t="shared" si="41"/>
        <v>320416.3815</v>
      </c>
      <c r="DG39" s="125">
        <f t="shared" si="41"/>
        <v>7873.6</v>
      </c>
      <c r="DH39" s="125">
        <f t="shared" si="41"/>
        <v>19881.5</v>
      </c>
      <c r="DI39" s="125">
        <f t="shared" si="41"/>
        <v>28151.3</v>
      </c>
      <c r="DJ39" s="125">
        <f t="shared" si="41"/>
        <v>37783.299999999996</v>
      </c>
      <c r="DK39" s="125">
        <f t="shared" si="41"/>
        <v>45336.8</v>
      </c>
      <c r="DL39" s="125">
        <f t="shared" si="41"/>
        <v>52820.99999999999</v>
      </c>
      <c r="DM39" s="125">
        <f t="shared" si="41"/>
        <v>60008.9</v>
      </c>
      <c r="DN39" s="125">
        <f t="shared" si="41"/>
        <v>68337.8</v>
      </c>
      <c r="DO39" s="125">
        <f t="shared" si="41"/>
        <v>76053.6</v>
      </c>
      <c r="DP39" s="125">
        <f t="shared" si="41"/>
        <v>82794</v>
      </c>
      <c r="DQ39" s="125">
        <f t="shared" si="41"/>
        <v>91205.5</v>
      </c>
      <c r="DR39" s="125">
        <f t="shared" si="41"/>
        <v>5286</v>
      </c>
      <c r="DS39" s="125">
        <f t="shared" si="41"/>
        <v>96491.5</v>
      </c>
      <c r="DT39" s="125">
        <f t="shared" si="41"/>
        <v>13217.042000000003</v>
      </c>
      <c r="DU39" s="125">
        <f t="shared" si="41"/>
        <v>9421.6</v>
      </c>
      <c r="DV39" s="125">
        <f t="shared" si="41"/>
        <v>12095.7</v>
      </c>
      <c r="DW39" s="125">
        <f t="shared" si="41"/>
        <v>9730</v>
      </c>
      <c r="DX39" s="125">
        <f t="shared" si="41"/>
        <v>9159.286</v>
      </c>
      <c r="DY39" s="125">
        <f t="shared" si="41"/>
        <v>14524.073000000002</v>
      </c>
      <c r="DZ39" s="125">
        <f t="shared" si="41"/>
        <v>12649.970999999998</v>
      </c>
      <c r="EA39" s="125">
        <f t="shared" si="41"/>
        <v>11572.857000000005</v>
      </c>
      <c r="EB39" s="125">
        <f t="shared" si="41"/>
        <v>14029.505000000001</v>
      </c>
      <c r="EC39" s="125">
        <f t="shared" si="41"/>
        <v>15345.791999999996</v>
      </c>
      <c r="ED39" s="125">
        <f t="shared" si="41"/>
        <v>10846.783000000009</v>
      </c>
      <c r="EE39" s="125">
        <f t="shared" si="41"/>
        <v>21264.627075067023</v>
      </c>
      <c r="EF39" s="125">
        <f t="shared" si="41"/>
        <v>153857.23607506705</v>
      </c>
      <c r="EG39" s="125">
        <f t="shared" si="41"/>
        <v>16050.57499999996</v>
      </c>
      <c r="EH39" s="125">
        <f t="shared" si="41"/>
        <v>13681.713999999985</v>
      </c>
      <c r="EI39" s="125">
        <f t="shared" si="41"/>
        <v>15047.606</v>
      </c>
      <c r="EJ39" s="125">
        <f t="shared" si="41"/>
        <v>12671.182999999979</v>
      </c>
      <c r="EK39" s="125">
        <f t="shared" si="41"/>
        <v>12753.073</v>
      </c>
      <c r="EL39" s="125">
        <f t="shared" si="41"/>
        <v>15846.320000000009</v>
      </c>
      <c r="EM39" s="125">
        <f t="shared" si="41"/>
        <v>15026.568999999974</v>
      </c>
      <c r="EN39" s="125">
        <f t="shared" si="41"/>
        <v>19255.911000000015</v>
      </c>
      <c r="EO39" s="125">
        <f t="shared" si="41"/>
        <v>14351.687000000004</v>
      </c>
      <c r="EP39" s="125">
        <f t="shared" si="41"/>
        <v>16280.359</v>
      </c>
      <c r="EQ39" s="125">
        <f t="shared" si="41"/>
        <v>14501.065999999993</v>
      </c>
      <c r="ER39" s="125">
        <f aca="true" t="shared" si="42" ref="ER39:HC39">SUM(ER41:ER53)</f>
        <v>24157.300000000003</v>
      </c>
      <c r="ES39" s="125">
        <f t="shared" si="42"/>
        <v>189623.3629999999</v>
      </c>
      <c r="ET39" s="125">
        <f t="shared" si="42"/>
        <v>17073.193</v>
      </c>
      <c r="EU39" s="125">
        <f t="shared" si="42"/>
        <v>12273.934999999998</v>
      </c>
      <c r="EV39" s="125">
        <f t="shared" si="42"/>
        <v>15070.052</v>
      </c>
      <c r="EW39" s="125">
        <f t="shared" si="42"/>
        <v>12298.813999999997</v>
      </c>
      <c r="EX39" s="125">
        <f t="shared" si="42"/>
        <v>10110.455000000002</v>
      </c>
      <c r="EY39" s="125">
        <f t="shared" si="42"/>
        <v>12841.192999999997</v>
      </c>
      <c r="EZ39" s="125">
        <f t="shared" si="42"/>
        <v>14556.252999999993</v>
      </c>
      <c r="FA39" s="125">
        <f t="shared" si="42"/>
        <v>13543.25400000001</v>
      </c>
      <c r="FB39" s="125">
        <f t="shared" si="42"/>
        <v>15757.179</v>
      </c>
      <c r="FC39" s="125">
        <f t="shared" si="42"/>
        <v>18003.476</v>
      </c>
      <c r="FD39" s="125">
        <f t="shared" si="42"/>
        <v>20760.317000000003</v>
      </c>
      <c r="FE39" s="125">
        <f t="shared" si="42"/>
        <v>15801.04899999999</v>
      </c>
      <c r="FF39" s="125">
        <f t="shared" si="42"/>
        <v>178089.16999999998</v>
      </c>
      <c r="FG39" s="125">
        <f t="shared" si="42"/>
        <v>29424.797041999987</v>
      </c>
      <c r="FH39" s="125">
        <f t="shared" si="42"/>
        <v>19731.725999999988</v>
      </c>
      <c r="FI39" s="125">
        <f t="shared" si="42"/>
        <v>14457.614000000001</v>
      </c>
      <c r="FJ39" s="125">
        <f t="shared" si="42"/>
        <v>19922.763</v>
      </c>
      <c r="FK39" s="125">
        <f t="shared" si="42"/>
        <v>17460.588</v>
      </c>
      <c r="FL39" s="125">
        <f t="shared" si="42"/>
        <v>20973.78</v>
      </c>
      <c r="FM39" s="125">
        <f t="shared" si="42"/>
        <v>21062.006999999998</v>
      </c>
      <c r="FN39" s="125">
        <f t="shared" si="42"/>
        <v>23471.814</v>
      </c>
      <c r="FO39" s="125">
        <f t="shared" si="42"/>
        <v>22023.982</v>
      </c>
      <c r="FP39" s="125">
        <f t="shared" si="42"/>
        <v>21796.734000000033</v>
      </c>
      <c r="FQ39" s="125">
        <f t="shared" si="42"/>
        <v>22740.128</v>
      </c>
      <c r="FR39" s="125">
        <f t="shared" si="42"/>
        <v>21101.699999999997</v>
      </c>
      <c r="FS39" s="125">
        <f t="shared" si="42"/>
        <v>254167.63304199997</v>
      </c>
      <c r="FT39" s="125">
        <f t="shared" si="42"/>
        <v>19731.725999999988</v>
      </c>
      <c r="FU39" s="125">
        <f t="shared" si="42"/>
        <v>21924.089</v>
      </c>
      <c r="FV39" s="125">
        <f t="shared" si="42"/>
        <v>20682.45</v>
      </c>
      <c r="FW39" s="125">
        <f t="shared" si="42"/>
        <v>17370.635000000002</v>
      </c>
      <c r="FX39" s="125">
        <f t="shared" si="42"/>
        <v>17166.155</v>
      </c>
      <c r="FY39" s="125">
        <f t="shared" si="42"/>
        <v>20078.714</v>
      </c>
      <c r="FZ39" s="125">
        <f t="shared" si="42"/>
        <v>18945.792</v>
      </c>
      <c r="GA39" s="125">
        <f t="shared" si="42"/>
        <v>22458.482000000004</v>
      </c>
      <c r="GB39" s="125">
        <f t="shared" si="42"/>
        <v>22576.449999999997</v>
      </c>
      <c r="GC39" s="125">
        <f t="shared" si="42"/>
        <v>24571.527</v>
      </c>
      <c r="GD39" s="125">
        <f t="shared" si="42"/>
        <v>21383.128</v>
      </c>
      <c r="GE39" s="125">
        <f t="shared" si="42"/>
        <v>19618.364</v>
      </c>
      <c r="GF39" s="125">
        <f t="shared" si="42"/>
        <v>22585.922</v>
      </c>
      <c r="GG39" s="125">
        <f t="shared" si="42"/>
        <v>249361.708</v>
      </c>
      <c r="GH39" s="125">
        <f t="shared" si="42"/>
        <v>29202.101000000002</v>
      </c>
      <c r="GI39" s="125">
        <f t="shared" si="42"/>
        <v>31866.761000000002</v>
      </c>
      <c r="GJ39" s="125">
        <f t="shared" si="42"/>
        <v>31889.867999999995</v>
      </c>
      <c r="GK39" s="125">
        <f t="shared" si="42"/>
        <v>21527.000999999997</v>
      </c>
      <c r="GL39" s="125">
        <f t="shared" si="42"/>
        <v>20568.234</v>
      </c>
      <c r="GM39" s="125">
        <f t="shared" si="42"/>
        <v>27652.089</v>
      </c>
      <c r="GN39" s="125">
        <f t="shared" si="42"/>
        <v>24394.002000000004</v>
      </c>
      <c r="GO39" s="125">
        <f t="shared" si="42"/>
        <v>23091.469</v>
      </c>
      <c r="GP39" s="125">
        <f t="shared" si="42"/>
        <v>30362.197</v>
      </c>
      <c r="GQ39" s="125">
        <f t="shared" si="42"/>
        <v>35031.369</v>
      </c>
      <c r="GR39" s="125">
        <f t="shared" si="42"/>
        <v>23879.812795605492</v>
      </c>
      <c r="GS39" s="125">
        <f t="shared" si="42"/>
        <v>24162.542999999998</v>
      </c>
      <c r="GT39" s="125">
        <f t="shared" si="42"/>
        <v>14700.354</v>
      </c>
      <c r="GU39" s="125">
        <f t="shared" si="42"/>
        <v>17986.366</v>
      </c>
      <c r="GV39" s="125">
        <f t="shared" si="42"/>
        <v>22419.207000000002</v>
      </c>
      <c r="GW39" s="125">
        <f t="shared" si="42"/>
        <v>21573.252000000004</v>
      </c>
      <c r="GX39" s="125">
        <f t="shared" si="42"/>
        <v>18758.136</v>
      </c>
      <c r="GY39" s="125">
        <f t="shared" si="42"/>
        <v>18034.256</v>
      </c>
      <c r="GZ39" s="125">
        <f t="shared" si="42"/>
        <v>21772.003</v>
      </c>
      <c r="HA39" s="125">
        <f t="shared" si="42"/>
        <v>32460.122</v>
      </c>
      <c r="HB39" s="125">
        <f t="shared" si="42"/>
        <v>24664.990999999998</v>
      </c>
      <c r="HC39" s="125">
        <f t="shared" si="42"/>
        <v>19623.514000000003</v>
      </c>
      <c r="HD39" s="125">
        <f>SUM(HD41:HD53)</f>
        <v>17796.241</v>
      </c>
      <c r="HE39" s="125">
        <f aca="true" t="shared" si="43" ref="HE39:IC39">SUM(HE41:HE53)</f>
        <v>20361.333000000002</v>
      </c>
      <c r="HF39" s="125">
        <f t="shared" si="43"/>
        <v>23246.024</v>
      </c>
      <c r="HG39" s="125">
        <f t="shared" si="43"/>
        <v>18579.594</v>
      </c>
      <c r="HH39" s="125">
        <f t="shared" si="43"/>
        <v>20848.574</v>
      </c>
      <c r="HI39" s="125">
        <f t="shared" si="43"/>
        <v>17449.452999999998</v>
      </c>
      <c r="HJ39" s="125">
        <f t="shared" si="43"/>
        <v>17262.678</v>
      </c>
      <c r="HK39" s="125">
        <f t="shared" si="43"/>
        <v>25086.827</v>
      </c>
      <c r="HL39" s="125">
        <f t="shared" si="43"/>
        <v>22880.703999999998</v>
      </c>
      <c r="HM39" s="125">
        <f t="shared" si="43"/>
        <v>34878.8045</v>
      </c>
      <c r="HN39" s="125">
        <f t="shared" si="43"/>
        <v>33705.777</v>
      </c>
      <c r="HO39" s="125">
        <f t="shared" si="43"/>
        <v>42353.049999999996</v>
      </c>
      <c r="HP39" s="125">
        <f t="shared" si="43"/>
        <v>31841.709000000003</v>
      </c>
      <c r="HQ39" s="125">
        <f t="shared" si="43"/>
        <v>32283.187</v>
      </c>
      <c r="HR39" s="125">
        <f t="shared" si="43"/>
        <v>49880.912</v>
      </c>
      <c r="HS39" s="125">
        <f t="shared" si="43"/>
        <v>33112.385</v>
      </c>
      <c r="HT39" s="125">
        <f t="shared" si="43"/>
        <v>33267.304000000004</v>
      </c>
      <c r="HU39" s="125">
        <f t="shared" si="43"/>
        <v>30117.578</v>
      </c>
      <c r="HV39" s="125">
        <f t="shared" si="43"/>
        <v>0</v>
      </c>
      <c r="HW39" s="125">
        <f t="shared" si="43"/>
        <v>0</v>
      </c>
      <c r="HX39" s="125">
        <f t="shared" si="43"/>
        <v>0</v>
      </c>
      <c r="HY39" s="125">
        <f t="shared" si="43"/>
        <v>0</v>
      </c>
      <c r="HZ39" s="125">
        <f t="shared" si="43"/>
        <v>0</v>
      </c>
      <c r="IA39" s="125">
        <f t="shared" si="43"/>
        <v>0</v>
      </c>
      <c r="IB39" s="125">
        <f t="shared" si="43"/>
        <v>0</v>
      </c>
      <c r="IC39" s="125">
        <f t="shared" si="43"/>
        <v>0</v>
      </c>
      <c r="ID39" s="125">
        <f>SUM(ID41:ID53)</f>
        <v>80123.64499999999</v>
      </c>
      <c r="IE39" s="125">
        <f>SUM(IE41:IE53)</f>
        <v>146378.179</v>
      </c>
    </row>
    <row r="40" spans="1:239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50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47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50"/>
      <c r="IE40" s="150"/>
    </row>
    <row r="41" spans="1:239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102</v>
      </c>
      <c r="BH41" s="17" t="s">
        <v>102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94356.274</v>
      </c>
      <c r="DG41" s="123">
        <v>3088.8</v>
      </c>
      <c r="DH41" s="123">
        <v>8269.8</v>
      </c>
      <c r="DI41" s="123">
        <v>14421.8</v>
      </c>
      <c r="DJ41" s="123">
        <v>20006.8</v>
      </c>
      <c r="DK41" s="123">
        <v>23804.8</v>
      </c>
      <c r="DL41" s="123">
        <v>25892.8</v>
      </c>
      <c r="DM41" s="123">
        <v>28088.8</v>
      </c>
      <c r="DN41" s="123">
        <v>31525.8</v>
      </c>
      <c r="DO41" s="123">
        <v>34746.8</v>
      </c>
      <c r="DP41" s="123">
        <v>38987.1</v>
      </c>
      <c r="DQ41" s="123">
        <f>43447.8+14</f>
        <v>43461.8</v>
      </c>
      <c r="DR41" s="123">
        <v>2713</v>
      </c>
      <c r="DS41" s="123">
        <f aca="true" t="shared" si="44" ref="DS41:DS53">DQ41+DR41</f>
        <v>46174.8</v>
      </c>
      <c r="DT41" s="123">
        <v>8522</v>
      </c>
      <c r="DU41" s="123">
        <v>4868</v>
      </c>
      <c r="DV41" s="123">
        <v>7438</v>
      </c>
      <c r="DW41" s="123">
        <v>4871</v>
      </c>
      <c r="DX41" s="123">
        <f>'[1]Feuil2'!$D$8</f>
        <v>5748.114</v>
      </c>
      <c r="DY41" s="123">
        <f>'[2]Feuil3'!$E$6</f>
        <v>9364.799</v>
      </c>
      <c r="DZ41" s="123">
        <v>8521</v>
      </c>
      <c r="EA41" s="123">
        <v>7206</v>
      </c>
      <c r="EB41" s="123">
        <v>9178.219</v>
      </c>
      <c r="EC41" s="123">
        <v>6143.919</v>
      </c>
      <c r="ED41" s="123">
        <v>5127.233</v>
      </c>
      <c r="EE41" s="123">
        <v>11713</v>
      </c>
      <c r="EF41" s="150">
        <f aca="true" t="shared" si="45" ref="EF41:EF53">SUM(DT41:EE41)</f>
        <v>88701.28399999999</v>
      </c>
      <c r="EG41" s="123">
        <v>10221</v>
      </c>
      <c r="EH41" s="123">
        <v>6263</v>
      </c>
      <c r="EI41" s="123">
        <v>8500</v>
      </c>
      <c r="EJ41" s="123">
        <v>5109.845</v>
      </c>
      <c r="EK41" s="123">
        <v>5943.1</v>
      </c>
      <c r="EL41" s="123">
        <v>5248.4</v>
      </c>
      <c r="EM41" s="123">
        <v>6233.9</v>
      </c>
      <c r="EN41" s="123">
        <v>5158.49</v>
      </c>
      <c r="EO41" s="123">
        <v>5135.109</v>
      </c>
      <c r="EP41" s="123">
        <v>4848.521</v>
      </c>
      <c r="EQ41" s="123">
        <v>4866.5</v>
      </c>
      <c r="ER41" s="123">
        <v>12785.8</v>
      </c>
      <c r="ES41" s="123">
        <f aca="true" t="shared" si="46" ref="ES41:ES53">SUM(EG41:ER41)</f>
        <v>80313.665</v>
      </c>
      <c r="ET41" s="123">
        <v>9167.386</v>
      </c>
      <c r="EU41" s="123">
        <v>4377.151</v>
      </c>
      <c r="EV41" s="123">
        <f>'[4]IV5-IV6'!$D$8</f>
        <v>8500.475</v>
      </c>
      <c r="EW41" s="123">
        <v>6112.14</v>
      </c>
      <c r="EX41" s="123">
        <v>3968.075</v>
      </c>
      <c r="EY41" s="123">
        <v>4824.4</v>
      </c>
      <c r="EZ41" s="123">
        <v>6152.425</v>
      </c>
      <c r="FA41" s="123">
        <v>4089.124</v>
      </c>
      <c r="FB41" s="123">
        <v>3568.7</v>
      </c>
      <c r="FC41" s="123">
        <v>4535.631000000001</v>
      </c>
      <c r="FD41" s="123">
        <v>5039.506</v>
      </c>
      <c r="FE41" s="123">
        <v>4816.096</v>
      </c>
      <c r="FF41" s="123">
        <f aca="true" t="shared" si="47" ref="FF41:FF53">SUM(ET41:FE41)</f>
        <v>65151.109000000004</v>
      </c>
      <c r="FG41" s="123">
        <v>7596.366</v>
      </c>
      <c r="FH41" s="123">
        <v>5215.467</v>
      </c>
      <c r="FI41" s="123">
        <v>3665.209</v>
      </c>
      <c r="FJ41" s="123">
        <f>'[5]IV5-IV6'!$C$27</f>
        <v>1497.849</v>
      </c>
      <c r="FK41" s="123">
        <v>4538.237</v>
      </c>
      <c r="FL41" s="123">
        <v>5903.9</v>
      </c>
      <c r="FM41" s="123">
        <v>5231.364</v>
      </c>
      <c r="FN41" s="123">
        <v>6748.132</v>
      </c>
      <c r="FO41" s="123">
        <v>5472.378</v>
      </c>
      <c r="FP41" s="123">
        <v>6052.4</v>
      </c>
      <c r="FQ41" s="123">
        <v>6379.274</v>
      </c>
      <c r="FR41" s="123">
        <v>6819.3</v>
      </c>
      <c r="FS41" s="123">
        <f aca="true" t="shared" si="48" ref="FS41:FS53">+FG41+FH41+FI41+FJ41+FK41+FL41+FM41+FN41+FO41+FP41+FQ41+FR41</f>
        <v>65119.876</v>
      </c>
      <c r="FT41" s="123">
        <v>5215.467</v>
      </c>
      <c r="FU41" s="123">
        <v>4396.211</v>
      </c>
      <c r="FV41" s="123">
        <v>5597.94</v>
      </c>
      <c r="FW41" s="123">
        <v>4958.529</v>
      </c>
      <c r="FX41" s="123">
        <v>4720.762</v>
      </c>
      <c r="FY41" s="123">
        <v>4251.653</v>
      </c>
      <c r="FZ41" s="123">
        <v>4573.441</v>
      </c>
      <c r="GA41" s="123">
        <v>5102.024</v>
      </c>
      <c r="GB41" s="123">
        <v>7796.804</v>
      </c>
      <c r="GC41" s="123">
        <v>4617.971</v>
      </c>
      <c r="GD41" s="123">
        <v>5938.642</v>
      </c>
      <c r="GE41" s="123">
        <v>3795.73</v>
      </c>
      <c r="GF41" s="123">
        <v>5481.356</v>
      </c>
      <c r="GG41" s="123">
        <f aca="true" t="shared" si="49" ref="GG41:GG53">SUM(FU41:GF41)</f>
        <v>61231.063</v>
      </c>
      <c r="GH41" s="123">
        <v>8451.572</v>
      </c>
      <c r="GI41" s="123">
        <v>8344.051</v>
      </c>
      <c r="GJ41" s="123">
        <v>9003.973</v>
      </c>
      <c r="GK41" s="123">
        <v>7076.601</v>
      </c>
      <c r="GL41" s="123">
        <v>7081.785</v>
      </c>
      <c r="GM41" s="123">
        <v>11075.39</v>
      </c>
      <c r="GN41" s="123">
        <v>7761.876</v>
      </c>
      <c r="GO41" s="123">
        <v>4559.153</v>
      </c>
      <c r="GP41" s="123">
        <v>6202.298</v>
      </c>
      <c r="GQ41" s="123">
        <v>5351.068</v>
      </c>
      <c r="GR41" s="123">
        <v>3025.882</v>
      </c>
      <c r="GS41" s="123">
        <v>2170.262</v>
      </c>
      <c r="GT41" s="123">
        <v>813.595</v>
      </c>
      <c r="GU41" s="123">
        <v>641.579</v>
      </c>
      <c r="GV41" s="123">
        <v>2418.591</v>
      </c>
      <c r="GW41" s="123">
        <v>1049.918</v>
      </c>
      <c r="GX41" s="123">
        <v>1161.152</v>
      </c>
      <c r="GY41" s="123">
        <v>2482.14</v>
      </c>
      <c r="GZ41" s="123">
        <v>1457.644</v>
      </c>
      <c r="HA41" s="123">
        <v>2833.745</v>
      </c>
      <c r="HB41" s="123">
        <v>3959.968</v>
      </c>
      <c r="HC41" s="123">
        <v>2950.31</v>
      </c>
      <c r="HD41" s="123">
        <v>2751.968</v>
      </c>
      <c r="HE41" s="123">
        <v>3684.751</v>
      </c>
      <c r="HF41" s="123">
        <v>4949.526</v>
      </c>
      <c r="HG41" s="123">
        <v>3272.551</v>
      </c>
      <c r="HH41" s="123">
        <v>4797.72</v>
      </c>
      <c r="HI41" s="123">
        <v>3547.548</v>
      </c>
      <c r="HJ41" s="123">
        <v>4960.688</v>
      </c>
      <c r="HK41" s="123">
        <v>5623.25</v>
      </c>
      <c r="HL41" s="123">
        <v>1881.766</v>
      </c>
      <c r="HM41" s="123">
        <v>9779.024</v>
      </c>
      <c r="HN41" s="123">
        <v>11611.75</v>
      </c>
      <c r="HO41" s="123">
        <v>22668.829</v>
      </c>
      <c r="HP41" s="123">
        <v>7046.27</v>
      </c>
      <c r="HQ41" s="123">
        <v>14217.352</v>
      </c>
      <c r="HR41" s="123">
        <v>16275.536</v>
      </c>
      <c r="HS41" s="123">
        <v>16927.7</v>
      </c>
      <c r="HT41" s="123">
        <v>18255.913</v>
      </c>
      <c r="HU41" s="123">
        <v>13420.247</v>
      </c>
      <c r="HV41" s="123"/>
      <c r="HW41" s="123"/>
      <c r="HX41" s="123"/>
      <c r="HY41" s="123"/>
      <c r="HZ41" s="123"/>
      <c r="IA41" s="123"/>
      <c r="IB41" s="123"/>
      <c r="IC41" s="123"/>
      <c r="ID41" s="150">
        <f>HF41+HG41+HH41+HI41</f>
        <v>16567.344999999998</v>
      </c>
      <c r="IE41" s="150">
        <f>HR41+HS41+HT41+HU41</f>
        <v>64879.39600000001</v>
      </c>
    </row>
    <row r="42" spans="1:239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>
        <v>218.65200000000002</v>
      </c>
      <c r="DG42" s="123" t="s">
        <v>36</v>
      </c>
      <c r="DH42" s="123" t="s">
        <v>36</v>
      </c>
      <c r="DI42" s="123">
        <v>18.5</v>
      </c>
      <c r="DJ42" s="123">
        <v>18.5</v>
      </c>
      <c r="DK42" s="123">
        <v>18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>
        <v>37.1</v>
      </c>
      <c r="DR42" s="123"/>
      <c r="DS42" s="123">
        <f t="shared" si="44"/>
        <v>37.1</v>
      </c>
      <c r="DT42" s="123">
        <v>19</v>
      </c>
      <c r="DU42" s="123"/>
      <c r="DV42" s="123">
        <v>0</v>
      </c>
      <c r="DW42" s="123" t="s">
        <v>36</v>
      </c>
      <c r="DX42" s="123" t="s">
        <v>36</v>
      </c>
      <c r="DY42" s="123">
        <v>0</v>
      </c>
      <c r="DZ42" s="123">
        <v>0</v>
      </c>
      <c r="EA42" s="123">
        <v>0</v>
      </c>
      <c r="EB42" s="123">
        <v>56.02</v>
      </c>
      <c r="EC42" s="123">
        <v>0</v>
      </c>
      <c r="ED42" s="123"/>
      <c r="EE42" s="123"/>
      <c r="EF42" s="150">
        <f t="shared" si="45"/>
        <v>75.02000000000001</v>
      </c>
      <c r="EG42" s="123">
        <v>0</v>
      </c>
      <c r="EH42" s="123" t="s">
        <v>36</v>
      </c>
      <c r="EI42" s="123">
        <v>0</v>
      </c>
      <c r="EJ42" s="123">
        <v>17.728</v>
      </c>
      <c r="EK42" s="123"/>
      <c r="EL42" s="123"/>
      <c r="EM42" s="123"/>
      <c r="EN42" s="123">
        <v>0</v>
      </c>
      <c r="EO42" s="123">
        <v>0</v>
      </c>
      <c r="EP42" s="123">
        <v>0</v>
      </c>
      <c r="EQ42" s="123"/>
      <c r="ER42" s="123"/>
      <c r="ES42" s="123">
        <f t="shared" si="46"/>
        <v>17.728</v>
      </c>
      <c r="ET42" s="123" t="s">
        <v>36</v>
      </c>
      <c r="EU42" s="123" t="s">
        <v>36</v>
      </c>
      <c r="EV42" s="123">
        <v>0</v>
      </c>
      <c r="EW42" s="123"/>
      <c r="EX42" s="123"/>
      <c r="EY42" s="123"/>
      <c r="EZ42" s="123"/>
      <c r="FA42" s="123">
        <v>0.2</v>
      </c>
      <c r="FB42" s="123">
        <v>10.5</v>
      </c>
      <c r="FC42" s="123">
        <v>0</v>
      </c>
      <c r="FD42" s="123">
        <v>0</v>
      </c>
      <c r="FE42" s="123">
        <v>0</v>
      </c>
      <c r="FF42" s="123">
        <f t="shared" si="47"/>
        <v>10.7</v>
      </c>
      <c r="FG42" s="123" t="s">
        <v>86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0</v>
      </c>
      <c r="FN42" s="123">
        <v>20.507</v>
      </c>
      <c r="FO42" s="123">
        <v>0</v>
      </c>
      <c r="FP42" s="123">
        <v>0</v>
      </c>
      <c r="FQ42" s="123">
        <v>0</v>
      </c>
      <c r="FR42" s="123">
        <v>0</v>
      </c>
      <c r="FS42" s="123">
        <f t="shared" si="48"/>
        <v>20.507</v>
      </c>
      <c r="FT42" s="123">
        <v>0</v>
      </c>
      <c r="FU42" s="123">
        <v>20.905</v>
      </c>
      <c r="FV42" s="123">
        <v>0</v>
      </c>
      <c r="FW42" s="123">
        <v>0</v>
      </c>
      <c r="FX42" s="123">
        <v>19.818</v>
      </c>
      <c r="FY42" s="123">
        <v>0</v>
      </c>
      <c r="FZ42" s="123">
        <v>22.678</v>
      </c>
      <c r="GA42" s="123"/>
      <c r="GB42" s="123">
        <v>0.72</v>
      </c>
      <c r="GC42" s="123"/>
      <c r="GD42" s="123">
        <v>1.5</v>
      </c>
      <c r="GE42" s="123"/>
      <c r="GF42" s="123"/>
      <c r="GG42" s="123">
        <f t="shared" si="49"/>
        <v>65.621</v>
      </c>
      <c r="GH42" s="123">
        <v>21.511</v>
      </c>
      <c r="GI42" s="123">
        <v>0</v>
      </c>
      <c r="GJ42" s="123">
        <v>21.516</v>
      </c>
      <c r="GK42" s="123">
        <v>1.2</v>
      </c>
      <c r="GL42" s="123">
        <v>21.938</v>
      </c>
      <c r="GM42" s="123"/>
      <c r="GN42" s="123">
        <v>17.482</v>
      </c>
      <c r="GO42" s="123">
        <v>3.503</v>
      </c>
      <c r="GP42" s="123"/>
      <c r="GQ42" s="123">
        <v>3.469</v>
      </c>
      <c r="GR42" s="123"/>
      <c r="GS42" s="123"/>
      <c r="GT42" s="123"/>
      <c r="GU42" s="123"/>
      <c r="GV42" s="123">
        <v>0.104</v>
      </c>
      <c r="GW42" s="123"/>
      <c r="GX42" s="123"/>
      <c r="GY42" s="123">
        <v>21.857</v>
      </c>
      <c r="GZ42" s="123">
        <v>21.857</v>
      </c>
      <c r="HA42" s="123"/>
      <c r="HB42" s="123">
        <v>30.86</v>
      </c>
      <c r="HC42" s="123">
        <v>0.152</v>
      </c>
      <c r="HD42" s="123"/>
      <c r="HE42" s="123"/>
      <c r="HF42" s="123">
        <v>24.598</v>
      </c>
      <c r="HG42" s="123">
        <v>0.22</v>
      </c>
      <c r="HH42" s="123"/>
      <c r="HI42" s="123">
        <v>23.971</v>
      </c>
      <c r="HJ42" s="123">
        <v>68.031</v>
      </c>
      <c r="HK42" s="123">
        <v>23.982</v>
      </c>
      <c r="HL42" s="123">
        <v>0.478</v>
      </c>
      <c r="HM42" s="123"/>
      <c r="HN42" s="123">
        <v>23.81</v>
      </c>
      <c r="HO42" s="123">
        <v>7.305</v>
      </c>
      <c r="HP42" s="123">
        <v>23.366</v>
      </c>
      <c r="HQ42" s="123">
        <v>22.891</v>
      </c>
      <c r="HR42" s="123"/>
      <c r="HS42" s="123">
        <v>0</v>
      </c>
      <c r="HT42" s="123">
        <v>22.947</v>
      </c>
      <c r="HU42" s="123">
        <v>0.765</v>
      </c>
      <c r="HV42" s="123"/>
      <c r="HW42" s="123"/>
      <c r="HX42" s="123"/>
      <c r="HY42" s="123"/>
      <c r="HZ42" s="123"/>
      <c r="IA42" s="123"/>
      <c r="IB42" s="123"/>
      <c r="IC42" s="123"/>
      <c r="ID42" s="150">
        <f aca="true" t="shared" si="50" ref="ID42:ID53">HF42+HG42+HH42+HI42</f>
        <v>48.789</v>
      </c>
      <c r="IE42" s="150">
        <f aca="true" t="shared" si="51" ref="IE42:IE53">HR42+HS42+HT42+HU42</f>
        <v>23.712</v>
      </c>
    </row>
    <row r="43" spans="1:239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>
        <v>87.665</v>
      </c>
      <c r="DG43" s="123" t="s">
        <v>36</v>
      </c>
      <c r="DH43" s="123">
        <v>1.5</v>
      </c>
      <c r="DI43" s="123">
        <v>1.5</v>
      </c>
      <c r="DJ43" s="123">
        <v>1.5</v>
      </c>
      <c r="DK43" s="123">
        <v>1</v>
      </c>
      <c r="DL43" s="123">
        <v>24.6</v>
      </c>
      <c r="DM43" s="123">
        <v>24.6</v>
      </c>
      <c r="DN43" s="123">
        <v>42.7</v>
      </c>
      <c r="DO43" s="123">
        <v>114.3</v>
      </c>
      <c r="DP43" s="123">
        <v>114.3</v>
      </c>
      <c r="DQ43" s="123">
        <v>118.3</v>
      </c>
      <c r="DR43" s="123"/>
      <c r="DS43" s="123">
        <f t="shared" si="44"/>
        <v>118.3</v>
      </c>
      <c r="DT43" s="123">
        <v>3</v>
      </c>
      <c r="DU43" s="123"/>
      <c r="DV43" s="123">
        <v>0</v>
      </c>
      <c r="DW43" s="123">
        <v>84</v>
      </c>
      <c r="DX43" s="123" t="s">
        <v>36</v>
      </c>
      <c r="DY43" s="123">
        <f>'[2]Feuil3'!$E$11</f>
        <v>20.575</v>
      </c>
      <c r="DZ43" s="123">
        <v>7</v>
      </c>
      <c r="EA43" s="123">
        <v>29</v>
      </c>
      <c r="EB43" s="123">
        <v>23</v>
      </c>
      <c r="EC43" s="123">
        <v>5.95</v>
      </c>
      <c r="ED43" s="123"/>
      <c r="EE43" s="123"/>
      <c r="EF43" s="150">
        <f t="shared" si="45"/>
        <v>172.52499999999998</v>
      </c>
      <c r="EG43" s="123">
        <v>0</v>
      </c>
      <c r="EH43" s="123" t="s">
        <v>36</v>
      </c>
      <c r="EI43" s="123">
        <v>0</v>
      </c>
      <c r="EJ43" s="123">
        <v>0</v>
      </c>
      <c r="EK43" s="123"/>
      <c r="EL43" s="123"/>
      <c r="EM43" s="123"/>
      <c r="EN43" s="123">
        <v>0</v>
      </c>
      <c r="EO43" s="123">
        <v>0</v>
      </c>
      <c r="EP43" s="123">
        <v>5.36</v>
      </c>
      <c r="EQ43" s="123">
        <v>17.8</v>
      </c>
      <c r="ER43" s="123">
        <v>9.1</v>
      </c>
      <c r="ES43" s="123">
        <f t="shared" si="46"/>
        <v>32.26</v>
      </c>
      <c r="ET43" s="123" t="s">
        <v>36</v>
      </c>
      <c r="EU43" s="123">
        <v>8.9</v>
      </c>
      <c r="EV43" s="123">
        <v>0</v>
      </c>
      <c r="EW43" s="123"/>
      <c r="EX43" s="123">
        <v>11.4</v>
      </c>
      <c r="EY43" s="123">
        <v>5.7</v>
      </c>
      <c r="EZ43" s="123">
        <v>5.7</v>
      </c>
      <c r="FA43" s="123">
        <v>10.675</v>
      </c>
      <c r="FB43" s="123"/>
      <c r="FC43" s="123">
        <v>0</v>
      </c>
      <c r="FD43" s="123">
        <v>0</v>
      </c>
      <c r="FE43" s="123">
        <v>0</v>
      </c>
      <c r="FF43" s="123">
        <f t="shared" si="47"/>
        <v>42.375</v>
      </c>
      <c r="FG43" s="123">
        <v>1.82</v>
      </c>
      <c r="FH43" s="123">
        <v>0.071</v>
      </c>
      <c r="FI43" s="123">
        <v>0</v>
      </c>
      <c r="FJ43" s="123">
        <f>'[5]IV5-IV6'!$C$31</f>
        <v>3.25</v>
      </c>
      <c r="FK43" s="123">
        <v>6.3</v>
      </c>
      <c r="FL43" s="123">
        <v>0.2</v>
      </c>
      <c r="FM43" s="123">
        <v>8.4</v>
      </c>
      <c r="FN43" s="123">
        <v>6.3</v>
      </c>
      <c r="FO43" s="123">
        <v>6.3</v>
      </c>
      <c r="FP43" s="123">
        <v>0.1</v>
      </c>
      <c r="FQ43" s="123">
        <v>0</v>
      </c>
      <c r="FR43" s="123">
        <v>0</v>
      </c>
      <c r="FS43" s="123">
        <f t="shared" si="48"/>
        <v>32.741</v>
      </c>
      <c r="FT43" s="123">
        <v>0.071</v>
      </c>
      <c r="FU43" s="123"/>
      <c r="FV43" s="123">
        <v>0</v>
      </c>
      <c r="FW43" s="123">
        <v>0.306</v>
      </c>
      <c r="FX43" s="123">
        <v>2.636</v>
      </c>
      <c r="FY43" s="123">
        <v>0.046</v>
      </c>
      <c r="FZ43" s="123">
        <v>83.1</v>
      </c>
      <c r="GA43" s="123">
        <v>12.787</v>
      </c>
      <c r="GB43" s="123"/>
      <c r="GC43" s="123"/>
      <c r="GD43" s="123"/>
      <c r="GE43" s="123"/>
      <c r="GF43" s="123"/>
      <c r="GG43" s="123">
        <f t="shared" si="49"/>
        <v>98.875</v>
      </c>
      <c r="GH43" s="123"/>
      <c r="GI43" s="123">
        <v>3.034</v>
      </c>
      <c r="GJ43" s="123"/>
      <c r="GK43" s="123">
        <v>0</v>
      </c>
      <c r="GL43" s="123"/>
      <c r="GM43" s="123"/>
      <c r="GN43" s="123">
        <v>1.5</v>
      </c>
      <c r="GO43" s="123"/>
      <c r="GP43" s="123"/>
      <c r="GQ43" s="123"/>
      <c r="GR43" s="123"/>
      <c r="GS43" s="123"/>
      <c r="GT43" s="123">
        <v>38.304</v>
      </c>
      <c r="GU43" s="123"/>
      <c r="GV43" s="123"/>
      <c r="GW43" s="123"/>
      <c r="GX43" s="123"/>
      <c r="GY43" s="123">
        <v>2.345</v>
      </c>
      <c r="GZ43" s="123"/>
      <c r="HA43" s="123"/>
      <c r="HB43" s="123"/>
      <c r="HC43" s="123"/>
      <c r="HD43" s="123"/>
      <c r="HE43" s="123"/>
      <c r="HF43" s="123">
        <v>1.5</v>
      </c>
      <c r="HG43" s="123"/>
      <c r="HH43" s="123">
        <v>0.016</v>
      </c>
      <c r="HI43" s="123">
        <v>38.675</v>
      </c>
      <c r="HJ43" s="123"/>
      <c r="HK43" s="123">
        <v>34.334</v>
      </c>
      <c r="HL43" s="123">
        <v>13.036</v>
      </c>
      <c r="HM43" s="123">
        <v>0.006</v>
      </c>
      <c r="HN43" s="123">
        <v>0.098</v>
      </c>
      <c r="HO43" s="123"/>
      <c r="HP43" s="123"/>
      <c r="HQ43" s="123"/>
      <c r="HR43" s="123">
        <v>1.607</v>
      </c>
      <c r="HS43" s="123">
        <v>8.362</v>
      </c>
      <c r="HT43" s="123">
        <v>0.031</v>
      </c>
      <c r="HU43" s="123">
        <v>37.296</v>
      </c>
      <c r="HV43" s="123"/>
      <c r="HW43" s="123"/>
      <c r="HX43" s="123"/>
      <c r="HY43" s="123"/>
      <c r="HZ43" s="123"/>
      <c r="IA43" s="123"/>
      <c r="IB43" s="123"/>
      <c r="IC43" s="123"/>
      <c r="ID43" s="150">
        <f t="shared" si="50"/>
        <v>40.190999999999995</v>
      </c>
      <c r="IE43" s="150">
        <f t="shared" si="51"/>
        <v>47.296</v>
      </c>
    </row>
    <row r="44" spans="1:239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406.1770000000001</v>
      </c>
      <c r="DG44" s="123">
        <v>27.5</v>
      </c>
      <c r="DH44" s="123">
        <v>27.5</v>
      </c>
      <c r="DI44" s="123">
        <v>91.5</v>
      </c>
      <c r="DJ44" s="123">
        <v>173.5</v>
      </c>
      <c r="DK44" s="123">
        <v>176</v>
      </c>
      <c r="DL44" s="123">
        <v>176</v>
      </c>
      <c r="DM44" s="123">
        <v>192</v>
      </c>
      <c r="DN44" s="123">
        <v>198</v>
      </c>
      <c r="DO44" s="123">
        <v>219</v>
      </c>
      <c r="DP44" s="123">
        <v>325</v>
      </c>
      <c r="DQ44" s="123">
        <v>333</v>
      </c>
      <c r="DR44" s="123">
        <v>23</v>
      </c>
      <c r="DS44" s="123">
        <f t="shared" si="44"/>
        <v>356</v>
      </c>
      <c r="DT44" s="123">
        <v>27</v>
      </c>
      <c r="DU44" s="123">
        <v>64</v>
      </c>
      <c r="DV44" s="123">
        <v>66</v>
      </c>
      <c r="DW44" s="123">
        <v>10</v>
      </c>
      <c r="DX44" s="123" t="s">
        <v>36</v>
      </c>
      <c r="DY44" s="123">
        <f>'[2]Feuil3'!$E$12</f>
        <v>52.97</v>
      </c>
      <c r="DZ44" s="123">
        <v>0</v>
      </c>
      <c r="EA44" s="123">
        <v>0</v>
      </c>
      <c r="EB44" s="123">
        <v>0</v>
      </c>
      <c r="EC44" s="123">
        <v>9.6</v>
      </c>
      <c r="ED44" s="123">
        <v>20</v>
      </c>
      <c r="EE44" s="123">
        <v>17</v>
      </c>
      <c r="EF44" s="150">
        <f t="shared" si="45"/>
        <v>266.57</v>
      </c>
      <c r="EG44" s="123">
        <v>35</v>
      </c>
      <c r="EH44" s="123" t="s">
        <v>36</v>
      </c>
      <c r="EI44" s="123">
        <v>58</v>
      </c>
      <c r="EJ44" s="123">
        <v>0</v>
      </c>
      <c r="EK44" s="123">
        <v>21.5</v>
      </c>
      <c r="EL44" s="123">
        <v>41</v>
      </c>
      <c r="EM44" s="123">
        <v>6.1</v>
      </c>
      <c r="EN44" s="123">
        <v>33.39</v>
      </c>
      <c r="EO44" s="123">
        <v>23.773</v>
      </c>
      <c r="EP44" s="123">
        <v>2</v>
      </c>
      <c r="EQ44" s="123">
        <v>36.9</v>
      </c>
      <c r="ER44" s="123"/>
      <c r="ES44" s="123">
        <f t="shared" si="46"/>
        <v>257.663</v>
      </c>
      <c r="ET44" s="123" t="s">
        <v>36</v>
      </c>
      <c r="EU44" s="123">
        <v>26.905</v>
      </c>
      <c r="EV44" s="123">
        <f>'[4]IV5-IV6'!$D$14</f>
        <v>58.145</v>
      </c>
      <c r="EW44" s="123">
        <v>28.85</v>
      </c>
      <c r="EX44" s="123">
        <v>9.08</v>
      </c>
      <c r="EY44" s="123">
        <v>3.7</v>
      </c>
      <c r="EZ44" s="123">
        <v>41.303</v>
      </c>
      <c r="FA44" s="123">
        <v>34.065</v>
      </c>
      <c r="FB44" s="123">
        <v>0.2</v>
      </c>
      <c r="FC44" s="123">
        <v>28.853</v>
      </c>
      <c r="FD44" s="123">
        <v>0</v>
      </c>
      <c r="FE44" s="123">
        <v>20.166</v>
      </c>
      <c r="FF44" s="123">
        <f t="shared" si="47"/>
        <v>251.267</v>
      </c>
      <c r="FG44" s="123">
        <v>62.582</v>
      </c>
      <c r="FH44" s="123">
        <v>2.132</v>
      </c>
      <c r="FI44" s="123">
        <v>3.588</v>
      </c>
      <c r="FJ44" s="123">
        <f>'[5]IV5-IV6'!$C$32</f>
        <v>49.05</v>
      </c>
      <c r="FK44" s="123">
        <v>61.714</v>
      </c>
      <c r="FL44" s="123">
        <v>9.4</v>
      </c>
      <c r="FM44" s="123">
        <v>35.844</v>
      </c>
      <c r="FN44" s="123">
        <v>103.606</v>
      </c>
      <c r="FO44" s="123">
        <v>108.005</v>
      </c>
      <c r="FP44" s="123">
        <v>38.9</v>
      </c>
      <c r="FQ44" s="123">
        <v>0</v>
      </c>
      <c r="FR44" s="123">
        <v>11.1</v>
      </c>
      <c r="FS44" s="123">
        <f t="shared" si="48"/>
        <v>485.92099999999994</v>
      </c>
      <c r="FT44" s="123">
        <v>2.132</v>
      </c>
      <c r="FU44" s="123">
        <v>78.186</v>
      </c>
      <c r="FV44" s="123">
        <v>1.61</v>
      </c>
      <c r="FW44" s="123">
        <v>1.65</v>
      </c>
      <c r="FX44" s="123">
        <v>23.53</v>
      </c>
      <c r="FY44" s="123">
        <v>54.131</v>
      </c>
      <c r="FZ44" s="123">
        <v>0</v>
      </c>
      <c r="GA44" s="123">
        <v>20.768</v>
      </c>
      <c r="GB44" s="123">
        <v>8.4</v>
      </c>
      <c r="GC44" s="123">
        <v>59.816</v>
      </c>
      <c r="GD44" s="123">
        <v>45.547</v>
      </c>
      <c r="GE44" s="123">
        <v>17.287</v>
      </c>
      <c r="GF44" s="123">
        <v>20.1</v>
      </c>
      <c r="GG44" s="123">
        <f t="shared" si="49"/>
        <v>331.02500000000003</v>
      </c>
      <c r="GH44" s="123">
        <v>18.086</v>
      </c>
      <c r="GI44" s="123">
        <v>23.405</v>
      </c>
      <c r="GJ44" s="123">
        <v>154.941</v>
      </c>
      <c r="GK44" s="123">
        <v>119.731</v>
      </c>
      <c r="GL44" s="123">
        <v>103.322</v>
      </c>
      <c r="GM44" s="123">
        <v>19.33</v>
      </c>
      <c r="GN44" s="123">
        <v>5.425</v>
      </c>
      <c r="GO44" s="123">
        <v>51.728</v>
      </c>
      <c r="GP44" s="123"/>
      <c r="GQ44" s="123">
        <v>1.925</v>
      </c>
      <c r="GR44" s="123">
        <v>22.379</v>
      </c>
      <c r="GS44" s="123">
        <v>1.616</v>
      </c>
      <c r="GT44" s="123">
        <v>54.492</v>
      </c>
      <c r="GU44" s="123">
        <v>24.245</v>
      </c>
      <c r="GV44" s="123"/>
      <c r="GW44" s="123">
        <v>18.01</v>
      </c>
      <c r="GX44" s="123">
        <v>7.5</v>
      </c>
      <c r="GY44" s="123">
        <v>1.23</v>
      </c>
      <c r="GZ44" s="123">
        <v>22.594</v>
      </c>
      <c r="HA44" s="123">
        <v>58.893</v>
      </c>
      <c r="HB44" s="123">
        <v>52.418</v>
      </c>
      <c r="HC44" s="123">
        <v>39.77</v>
      </c>
      <c r="HD44" s="123">
        <v>154.467</v>
      </c>
      <c r="HE44" s="123">
        <v>1.15</v>
      </c>
      <c r="HF44" s="123">
        <v>45.315</v>
      </c>
      <c r="HG44" s="123">
        <v>80.193</v>
      </c>
      <c r="HH44" s="123">
        <v>48.92</v>
      </c>
      <c r="HI44" s="123">
        <v>30.505</v>
      </c>
      <c r="HJ44" s="123">
        <v>33.876</v>
      </c>
      <c r="HK44" s="123">
        <v>0</v>
      </c>
      <c r="HL44" s="123">
        <v>22.265</v>
      </c>
      <c r="HM44" s="123">
        <v>23.617</v>
      </c>
      <c r="HN44" s="123">
        <v>61.225</v>
      </c>
      <c r="HO44" s="123">
        <v>0.028</v>
      </c>
      <c r="HP44" s="123">
        <v>38.713</v>
      </c>
      <c r="HQ44" s="123">
        <v>21.52</v>
      </c>
      <c r="HR44" s="123">
        <v>39.376</v>
      </c>
      <c r="HS44" s="123">
        <v>0</v>
      </c>
      <c r="HT44" s="123">
        <v>17.84</v>
      </c>
      <c r="HU44" s="123">
        <v>66.84</v>
      </c>
      <c r="HV44" s="123"/>
      <c r="HW44" s="123"/>
      <c r="HX44" s="123"/>
      <c r="HY44" s="123"/>
      <c r="HZ44" s="123"/>
      <c r="IA44" s="123"/>
      <c r="IB44" s="123"/>
      <c r="IC44" s="123"/>
      <c r="ID44" s="150">
        <f t="shared" si="50"/>
        <v>204.933</v>
      </c>
      <c r="IE44" s="150">
        <f t="shared" si="51"/>
        <v>124.056</v>
      </c>
    </row>
    <row r="45" spans="1:239" ht="15.75">
      <c r="A45" s="131" t="s">
        <v>133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>
        <v>48475.715500000006</v>
      </c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50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>
        <v>4026.593</v>
      </c>
      <c r="GU45" s="123">
        <v>7625.694</v>
      </c>
      <c r="GV45" s="123">
        <v>8753.78</v>
      </c>
      <c r="GW45" s="123">
        <v>6164.993</v>
      </c>
      <c r="GX45" s="123">
        <v>3052.058</v>
      </c>
      <c r="GY45" s="123">
        <v>3404.031</v>
      </c>
      <c r="GZ45" s="123">
        <v>3190.904</v>
      </c>
      <c r="HA45" s="123">
        <v>2799.569</v>
      </c>
      <c r="HB45" s="123">
        <v>3805.334</v>
      </c>
      <c r="HC45" s="123">
        <v>3206.052</v>
      </c>
      <c r="HD45" s="123">
        <v>3327.522</v>
      </c>
      <c r="HE45" s="123">
        <v>3663.623</v>
      </c>
      <c r="HF45" s="123">
        <v>0.623</v>
      </c>
      <c r="HG45" s="123">
        <v>3985.205</v>
      </c>
      <c r="HH45" s="123">
        <v>1965.922</v>
      </c>
      <c r="HI45" s="123">
        <v>1760.73</v>
      </c>
      <c r="HJ45" s="123">
        <v>1418.869</v>
      </c>
      <c r="HK45" s="123">
        <v>4411.377</v>
      </c>
      <c r="HL45" s="123">
        <v>3749.671</v>
      </c>
      <c r="HM45" s="123">
        <v>6758.7285</v>
      </c>
      <c r="HN45" s="123">
        <v>3663.595</v>
      </c>
      <c r="HO45" s="123">
        <v>6377.413</v>
      </c>
      <c r="HP45" s="123">
        <v>10322.828</v>
      </c>
      <c r="HQ45" s="123">
        <v>4060.754</v>
      </c>
      <c r="HR45" s="123">
        <v>18921.916</v>
      </c>
      <c r="HS45" s="123">
        <v>7361.372</v>
      </c>
      <c r="HT45" s="123">
        <v>5250.343</v>
      </c>
      <c r="HU45" s="123">
        <v>7430.786</v>
      </c>
      <c r="HV45" s="123"/>
      <c r="HW45" s="123"/>
      <c r="HX45" s="123"/>
      <c r="HY45" s="123"/>
      <c r="HZ45" s="123"/>
      <c r="IA45" s="123"/>
      <c r="IB45" s="123"/>
      <c r="IC45" s="123"/>
      <c r="ID45" s="150">
        <f t="shared" si="50"/>
        <v>7712.48</v>
      </c>
      <c r="IE45" s="150">
        <f t="shared" si="51"/>
        <v>38964.417</v>
      </c>
    </row>
    <row r="46" spans="1:239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2777.783000000001</v>
      </c>
      <c r="DG46" s="123">
        <v>9.6</v>
      </c>
      <c r="DH46" s="123">
        <v>37.6</v>
      </c>
      <c r="DI46" s="123">
        <v>59.6</v>
      </c>
      <c r="DJ46" s="123">
        <v>61.3</v>
      </c>
      <c r="DK46" s="123">
        <v>61</v>
      </c>
      <c r="DL46" s="123">
        <v>62.8</v>
      </c>
      <c r="DM46" s="123">
        <v>62.9</v>
      </c>
      <c r="DN46" s="123">
        <v>62.9</v>
      </c>
      <c r="DO46" s="123">
        <v>63</v>
      </c>
      <c r="DP46" s="123">
        <v>63.2</v>
      </c>
      <c r="DQ46" s="123">
        <v>65.2</v>
      </c>
      <c r="DR46" s="123">
        <v>0</v>
      </c>
      <c r="DS46" s="123">
        <f t="shared" si="44"/>
        <v>65.2</v>
      </c>
      <c r="DT46" s="123" t="s">
        <v>36</v>
      </c>
      <c r="DU46" s="123"/>
      <c r="DV46" s="123" t="s">
        <v>86</v>
      </c>
      <c r="DW46" s="123">
        <v>1</v>
      </c>
      <c r="DX46" s="123" t="s">
        <v>36</v>
      </c>
      <c r="DY46" s="123">
        <f>'[2]Feuil3'!$E$18</f>
        <v>8.491</v>
      </c>
      <c r="DZ46" s="123">
        <v>1</v>
      </c>
      <c r="EA46" s="123">
        <v>0.2</v>
      </c>
      <c r="EB46" s="123">
        <v>4.79</v>
      </c>
      <c r="EC46" s="123">
        <v>0</v>
      </c>
      <c r="ED46" s="123">
        <v>48</v>
      </c>
      <c r="EE46" s="123">
        <v>0.7</v>
      </c>
      <c r="EF46" s="150">
        <f t="shared" si="45"/>
        <v>64.181</v>
      </c>
      <c r="EG46" s="123">
        <v>26</v>
      </c>
      <c r="EH46" s="123" t="s">
        <v>36</v>
      </c>
      <c r="EI46" s="123">
        <v>15</v>
      </c>
      <c r="EJ46" s="123">
        <v>0.626</v>
      </c>
      <c r="EK46" s="123">
        <v>23.9</v>
      </c>
      <c r="EL46" s="123">
        <v>0.7</v>
      </c>
      <c r="EM46" s="123">
        <v>0.3</v>
      </c>
      <c r="EN46" s="123">
        <v>51.89</v>
      </c>
      <c r="EO46" s="123">
        <v>7.25</v>
      </c>
      <c r="EP46" s="123">
        <v>0.846</v>
      </c>
      <c r="EQ46" s="123">
        <v>1.1</v>
      </c>
      <c r="ER46" s="123">
        <v>8.9</v>
      </c>
      <c r="ES46" s="123">
        <f t="shared" si="46"/>
        <v>136.512</v>
      </c>
      <c r="ET46" s="123">
        <v>1.242</v>
      </c>
      <c r="EU46" s="123">
        <v>0.948</v>
      </c>
      <c r="EV46" s="123">
        <f>'[4]IV5-IV6'!$D$25</f>
        <v>15.145</v>
      </c>
      <c r="EW46" s="123">
        <v>50.6</v>
      </c>
      <c r="EX46" s="123">
        <v>0.166</v>
      </c>
      <c r="EY46" s="123">
        <v>0.3</v>
      </c>
      <c r="EZ46" s="123">
        <v>4.107</v>
      </c>
      <c r="FA46" s="123">
        <v>20.145</v>
      </c>
      <c r="FB46" s="123">
        <v>0.4</v>
      </c>
      <c r="FC46" s="123">
        <v>0.07</v>
      </c>
      <c r="FD46" s="123">
        <v>0.882</v>
      </c>
      <c r="FE46" s="123">
        <v>27.566</v>
      </c>
      <c r="FF46" s="123">
        <f t="shared" si="47"/>
        <v>121.571</v>
      </c>
      <c r="FG46" s="123">
        <v>15.813</v>
      </c>
      <c r="FH46" s="123">
        <v>0.371</v>
      </c>
      <c r="FI46" s="123">
        <v>0.396</v>
      </c>
      <c r="FJ46" s="123">
        <f>'[5]IV5-IV6'!$C$35</f>
        <v>21.509</v>
      </c>
      <c r="FK46" s="123">
        <v>4.311</v>
      </c>
      <c r="FL46" s="123">
        <v>0.2</v>
      </c>
      <c r="FM46" s="123">
        <v>4.543</v>
      </c>
      <c r="FN46" s="123">
        <v>4.461</v>
      </c>
      <c r="FO46" s="123">
        <v>3.626</v>
      </c>
      <c r="FP46" s="123">
        <v>16.4</v>
      </c>
      <c r="FQ46" s="123">
        <v>28.66</v>
      </c>
      <c r="FR46" s="123">
        <v>3</v>
      </c>
      <c r="FS46" s="123">
        <f t="shared" si="48"/>
        <v>103.28999999999999</v>
      </c>
      <c r="FT46" s="123">
        <v>0.371</v>
      </c>
      <c r="FU46" s="123">
        <v>0.919</v>
      </c>
      <c r="FV46" s="123">
        <v>0.156</v>
      </c>
      <c r="FW46" s="123">
        <v>73.204</v>
      </c>
      <c r="FX46" s="123">
        <v>0.125</v>
      </c>
      <c r="FY46" s="123">
        <v>0.812</v>
      </c>
      <c r="FZ46" s="123">
        <v>10.954</v>
      </c>
      <c r="GA46" s="123">
        <v>0.179</v>
      </c>
      <c r="GB46" s="123">
        <v>0.854</v>
      </c>
      <c r="GC46" s="123">
        <v>16.37</v>
      </c>
      <c r="GD46" s="123">
        <v>0.177</v>
      </c>
      <c r="GE46" s="123">
        <v>3.18</v>
      </c>
      <c r="GF46" s="123">
        <v>16.724</v>
      </c>
      <c r="GG46" s="123">
        <f t="shared" si="49"/>
        <v>123.65400000000001</v>
      </c>
      <c r="GH46" s="123">
        <v>0.985</v>
      </c>
      <c r="GI46" s="123">
        <v>26.794</v>
      </c>
      <c r="GJ46" s="123">
        <v>95.006</v>
      </c>
      <c r="GK46" s="123">
        <v>10.336</v>
      </c>
      <c r="GL46" s="123">
        <v>0.287</v>
      </c>
      <c r="GM46" s="123">
        <v>10.42</v>
      </c>
      <c r="GN46" s="123">
        <v>22.854</v>
      </c>
      <c r="GO46" s="123">
        <v>0.2</v>
      </c>
      <c r="GP46" s="123">
        <v>0.359</v>
      </c>
      <c r="GQ46" s="123">
        <v>0.356</v>
      </c>
      <c r="GR46" s="123">
        <v>0.582</v>
      </c>
      <c r="GS46" s="123">
        <v>1.706</v>
      </c>
      <c r="GT46" s="123"/>
      <c r="GU46" s="123">
        <v>23.13</v>
      </c>
      <c r="GV46" s="123">
        <v>2.571</v>
      </c>
      <c r="GW46" s="123">
        <v>1.056</v>
      </c>
      <c r="GX46" s="123">
        <v>3.299</v>
      </c>
      <c r="GY46" s="123">
        <v>1.384</v>
      </c>
      <c r="GZ46" s="123">
        <v>27.755</v>
      </c>
      <c r="HA46" s="123">
        <v>3.819</v>
      </c>
      <c r="HB46" s="123">
        <v>19.543</v>
      </c>
      <c r="HC46" s="123">
        <v>11.103</v>
      </c>
      <c r="HD46" s="123">
        <v>90.874</v>
      </c>
      <c r="HE46" s="123">
        <v>88.663</v>
      </c>
      <c r="HF46" s="123">
        <v>2690.834</v>
      </c>
      <c r="HG46" s="123">
        <v>0.514</v>
      </c>
      <c r="HH46" s="123">
        <v>3.001</v>
      </c>
      <c r="HI46" s="123">
        <v>1.17</v>
      </c>
      <c r="HJ46" s="123">
        <v>0.436</v>
      </c>
      <c r="HK46" s="123">
        <v>0.054</v>
      </c>
      <c r="HL46" s="123">
        <v>1.011</v>
      </c>
      <c r="HM46" s="123">
        <v>1.605</v>
      </c>
      <c r="HN46" s="123">
        <v>0.387</v>
      </c>
      <c r="HO46" s="123"/>
      <c r="HP46" s="123">
        <v>2.159</v>
      </c>
      <c r="HQ46" s="123">
        <v>76.612</v>
      </c>
      <c r="HR46" s="123">
        <v>1.157</v>
      </c>
      <c r="HS46" s="123">
        <v>6.355</v>
      </c>
      <c r="HT46" s="123">
        <v>49.885</v>
      </c>
      <c r="HU46" s="123">
        <v>1.973</v>
      </c>
      <c r="HV46" s="123"/>
      <c r="HW46" s="123"/>
      <c r="HX46" s="123"/>
      <c r="HY46" s="123"/>
      <c r="HZ46" s="123"/>
      <c r="IA46" s="123"/>
      <c r="IB46" s="123"/>
      <c r="IC46" s="123"/>
      <c r="ID46" s="150">
        <f t="shared" si="50"/>
        <v>2695.5190000000002</v>
      </c>
      <c r="IE46" s="150">
        <f t="shared" si="51"/>
        <v>59.37</v>
      </c>
    </row>
    <row r="47" spans="1:239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64">
        <v>0.1</v>
      </c>
      <c r="DF47" s="123">
        <v>225.108</v>
      </c>
      <c r="DG47" s="123">
        <v>131</v>
      </c>
      <c r="DH47" s="123">
        <v>452</v>
      </c>
      <c r="DI47" s="123">
        <v>473</v>
      </c>
      <c r="DJ47" s="123">
        <v>473</v>
      </c>
      <c r="DK47" s="123">
        <v>473</v>
      </c>
      <c r="DL47" s="123">
        <v>494</v>
      </c>
      <c r="DM47" s="123">
        <v>497</v>
      </c>
      <c r="DN47" s="123">
        <v>744</v>
      </c>
      <c r="DO47" s="123">
        <v>1170</v>
      </c>
      <c r="DP47" s="123">
        <v>1170</v>
      </c>
      <c r="DQ47" s="123">
        <v>1190</v>
      </c>
      <c r="DR47" s="123">
        <v>156</v>
      </c>
      <c r="DS47" s="123">
        <f t="shared" si="44"/>
        <v>1346</v>
      </c>
      <c r="DT47" s="123"/>
      <c r="DU47" s="123"/>
      <c r="DV47" s="123">
        <v>10</v>
      </c>
      <c r="DW47" s="123" t="s">
        <v>86</v>
      </c>
      <c r="DX47" s="123">
        <f>'[1]Feuil2'!$D$21</f>
        <v>42.02</v>
      </c>
      <c r="DY47" s="123">
        <v>0</v>
      </c>
      <c r="DZ47" s="123">
        <v>0</v>
      </c>
      <c r="EA47" s="123">
        <v>0.3</v>
      </c>
      <c r="EB47" s="123">
        <v>0</v>
      </c>
      <c r="EC47" s="123">
        <v>0</v>
      </c>
      <c r="ED47" s="123"/>
      <c r="EE47" s="123"/>
      <c r="EF47" s="150">
        <f t="shared" si="45"/>
        <v>52.32</v>
      </c>
      <c r="EG47" s="123">
        <v>21</v>
      </c>
      <c r="EH47" s="123" t="s">
        <v>36</v>
      </c>
      <c r="EI47" s="123">
        <v>212</v>
      </c>
      <c r="EJ47" s="123">
        <v>1015.183</v>
      </c>
      <c r="EK47" s="123">
        <v>414.8</v>
      </c>
      <c r="EL47" s="123">
        <v>262</v>
      </c>
      <c r="EM47" s="123">
        <v>29</v>
      </c>
      <c r="EN47" s="123">
        <v>29.91</v>
      </c>
      <c r="EO47" s="123">
        <v>294.423</v>
      </c>
      <c r="EP47" s="123">
        <v>0</v>
      </c>
      <c r="EQ47" s="123">
        <v>24</v>
      </c>
      <c r="ER47" s="123">
        <v>165</v>
      </c>
      <c r="ES47" s="123">
        <f t="shared" si="46"/>
        <v>2467.316</v>
      </c>
      <c r="ET47" s="123" t="s">
        <v>36</v>
      </c>
      <c r="EU47" s="123">
        <v>23.28</v>
      </c>
      <c r="EV47" s="147">
        <f>'[4]IV5-IV6'!$D$28</f>
        <v>212.411</v>
      </c>
      <c r="EW47" s="147"/>
      <c r="EX47" s="147"/>
      <c r="EY47" s="147">
        <v>28.2</v>
      </c>
      <c r="EZ47" s="147">
        <v>506.8</v>
      </c>
      <c r="FA47" s="123">
        <v>0</v>
      </c>
      <c r="FB47" s="123"/>
      <c r="FC47" s="123">
        <v>0</v>
      </c>
      <c r="FD47" s="123">
        <v>0</v>
      </c>
      <c r="FE47" s="123">
        <v>0</v>
      </c>
      <c r="FF47" s="123">
        <f t="shared" si="47"/>
        <v>770.691</v>
      </c>
      <c r="FG47" s="123">
        <v>376.4</v>
      </c>
      <c r="FH47" s="123">
        <v>30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0</v>
      </c>
      <c r="FP47" s="123">
        <v>100</v>
      </c>
      <c r="FQ47" s="123">
        <v>0</v>
      </c>
      <c r="FR47" s="123">
        <v>0</v>
      </c>
      <c r="FS47" s="123">
        <f t="shared" si="48"/>
        <v>506.4</v>
      </c>
      <c r="FT47" s="123">
        <v>30</v>
      </c>
      <c r="FU47" s="123"/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0</v>
      </c>
      <c r="GB47" s="123">
        <v>9</v>
      </c>
      <c r="GC47" s="123">
        <v>1.268</v>
      </c>
      <c r="GD47" s="123">
        <v>135.37</v>
      </c>
      <c r="GE47" s="123">
        <v>21.99</v>
      </c>
      <c r="GF47" s="123"/>
      <c r="GG47" s="123">
        <f t="shared" si="49"/>
        <v>167.62800000000001</v>
      </c>
      <c r="GH47" s="123"/>
      <c r="GI47" s="123">
        <v>0</v>
      </c>
      <c r="GJ47" s="123"/>
      <c r="GK47" s="123">
        <v>0</v>
      </c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>
        <v>0.1</v>
      </c>
      <c r="HD47" s="123"/>
      <c r="HE47" s="123"/>
      <c r="HF47" s="123"/>
      <c r="HG47" s="123"/>
      <c r="HH47" s="123"/>
      <c r="HI47" s="123"/>
      <c r="HJ47" s="123">
        <v>0.03</v>
      </c>
      <c r="HK47" s="123">
        <v>0</v>
      </c>
      <c r="HL47" s="123"/>
      <c r="HM47" s="123">
        <v>189.818</v>
      </c>
      <c r="HN47" s="123">
        <v>12</v>
      </c>
      <c r="HO47" s="123"/>
      <c r="HP47" s="123"/>
      <c r="HQ47" s="123">
        <v>23.26</v>
      </c>
      <c r="HR47" s="123"/>
      <c r="HS47" s="123">
        <v>0</v>
      </c>
      <c r="HT47" s="123">
        <v>27.025</v>
      </c>
      <c r="HU47" s="123">
        <v>0</v>
      </c>
      <c r="HV47" s="123"/>
      <c r="HW47" s="123"/>
      <c r="HX47" s="123"/>
      <c r="HY47" s="123"/>
      <c r="HZ47" s="123"/>
      <c r="IA47" s="123"/>
      <c r="IB47" s="123"/>
      <c r="IC47" s="123"/>
      <c r="ID47" s="150">
        <f t="shared" si="50"/>
        <v>0</v>
      </c>
      <c r="IE47" s="150">
        <f t="shared" si="51"/>
        <v>27.025</v>
      </c>
    </row>
    <row r="48" spans="1:239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5891.355</v>
      </c>
      <c r="DG48" s="123">
        <v>219</v>
      </c>
      <c r="DH48" s="123">
        <v>367</v>
      </c>
      <c r="DI48" s="123">
        <v>570</v>
      </c>
      <c r="DJ48" s="123">
        <v>773</v>
      </c>
      <c r="DK48" s="123">
        <v>1028</v>
      </c>
      <c r="DL48" s="123">
        <v>1246</v>
      </c>
      <c r="DM48" s="123">
        <v>1447</v>
      </c>
      <c r="DN48" s="123">
        <v>1624</v>
      </c>
      <c r="DO48" s="123">
        <v>1759</v>
      </c>
      <c r="DP48" s="123">
        <v>1938</v>
      </c>
      <c r="DQ48" s="123">
        <v>2162</v>
      </c>
      <c r="DR48" s="123">
        <v>256</v>
      </c>
      <c r="DS48" s="123">
        <f t="shared" si="44"/>
        <v>2418</v>
      </c>
      <c r="DT48" s="123">
        <v>502</v>
      </c>
      <c r="DU48" s="123">
        <v>436</v>
      </c>
      <c r="DV48" s="123">
        <v>716</v>
      </c>
      <c r="DW48" s="123">
        <v>443</v>
      </c>
      <c r="DX48" s="123">
        <f>'[1]Feuil2'!$D$24</f>
        <v>455.765</v>
      </c>
      <c r="DY48" s="123">
        <f>'[2]Feuil3'!$E$24</f>
        <v>595.619</v>
      </c>
      <c r="DZ48" s="123">
        <v>511</v>
      </c>
      <c r="EA48" s="123">
        <v>689</v>
      </c>
      <c r="EB48" s="123">
        <v>454.781</v>
      </c>
      <c r="EC48" s="123">
        <v>3254.927</v>
      </c>
      <c r="ED48" s="123">
        <v>1225</v>
      </c>
      <c r="EE48" s="123">
        <v>3333</v>
      </c>
      <c r="EF48" s="150">
        <f t="shared" si="45"/>
        <v>12616.092</v>
      </c>
      <c r="EG48" s="123">
        <v>1313</v>
      </c>
      <c r="EH48" s="123">
        <v>1864</v>
      </c>
      <c r="EI48" s="123">
        <f>604</f>
        <v>604</v>
      </c>
      <c r="EJ48" s="123">
        <v>412.04</v>
      </c>
      <c r="EK48" s="123">
        <v>539.1</v>
      </c>
      <c r="EL48" s="123">
        <v>570.9</v>
      </c>
      <c r="EM48" s="123">
        <v>545.1</v>
      </c>
      <c r="EN48" s="123">
        <v>706.06</v>
      </c>
      <c r="EO48" s="123">
        <v>445.751</v>
      </c>
      <c r="EP48" s="123">
        <v>510.456</v>
      </c>
      <c r="EQ48" s="123">
        <v>562</v>
      </c>
      <c r="ER48" s="123">
        <v>395</v>
      </c>
      <c r="ES48" s="123">
        <f t="shared" si="46"/>
        <v>8467.407000000001</v>
      </c>
      <c r="ET48" s="123">
        <v>300.275</v>
      </c>
      <c r="EU48" s="123">
        <v>563.244</v>
      </c>
      <c r="EV48" s="123">
        <f>'[4]IV5-IV6'!$D$30</f>
        <v>603.931</v>
      </c>
      <c r="EW48" s="123">
        <v>417.28</v>
      </c>
      <c r="EX48" s="123">
        <v>305.963</v>
      </c>
      <c r="EY48" s="123">
        <v>477.7</v>
      </c>
      <c r="EZ48" s="123">
        <v>262.857</v>
      </c>
      <c r="FA48" s="123">
        <v>379.59</v>
      </c>
      <c r="FB48" s="123">
        <v>409.6</v>
      </c>
      <c r="FC48" s="123">
        <v>222.335</v>
      </c>
      <c r="FD48" s="123">
        <v>230.106</v>
      </c>
      <c r="FE48" s="123">
        <v>300.275</v>
      </c>
      <c r="FF48" s="123">
        <f t="shared" si="47"/>
        <v>4473.156</v>
      </c>
      <c r="FG48" s="123">
        <v>318.402</v>
      </c>
      <c r="FH48" s="123">
        <v>176.674</v>
      </c>
      <c r="FI48" s="123">
        <v>296.752</v>
      </c>
      <c r="FJ48" s="123">
        <f>'[5]IV5-IV6'!$C$39</f>
        <v>3263.062</v>
      </c>
      <c r="FK48" s="123">
        <v>337.206</v>
      </c>
      <c r="FL48" s="123">
        <v>330.5</v>
      </c>
      <c r="FM48" s="123">
        <v>347.128</v>
      </c>
      <c r="FN48" s="123">
        <v>283.758</v>
      </c>
      <c r="FO48" s="123">
        <v>348.304</v>
      </c>
      <c r="FP48" s="123">
        <v>364.4</v>
      </c>
      <c r="FQ48" s="123">
        <v>442.544</v>
      </c>
      <c r="FR48" s="123">
        <v>682.7</v>
      </c>
      <c r="FS48" s="123">
        <f t="shared" si="48"/>
        <v>7191.4299999999985</v>
      </c>
      <c r="FT48" s="123">
        <v>176.674</v>
      </c>
      <c r="FU48" s="123">
        <v>326.83700000000005</v>
      </c>
      <c r="FV48" s="123">
        <v>268.521</v>
      </c>
      <c r="FW48" s="123">
        <v>475.271</v>
      </c>
      <c r="FX48" s="123">
        <v>421.592</v>
      </c>
      <c r="FY48" s="123">
        <v>382.253</v>
      </c>
      <c r="FZ48" s="123">
        <v>346.838</v>
      </c>
      <c r="GA48" s="123">
        <v>467.055</v>
      </c>
      <c r="GB48" s="123">
        <v>440.481</v>
      </c>
      <c r="GC48" s="123">
        <v>357.339</v>
      </c>
      <c r="GD48" s="123">
        <v>386.981</v>
      </c>
      <c r="GE48" s="123">
        <v>353.97</v>
      </c>
      <c r="GF48" s="123">
        <v>435.795</v>
      </c>
      <c r="GG48" s="123">
        <f t="shared" si="49"/>
        <v>4662.933</v>
      </c>
      <c r="GH48" s="123">
        <v>394.285</v>
      </c>
      <c r="GI48" s="123">
        <v>336.253</v>
      </c>
      <c r="GJ48" s="123">
        <v>578.705</v>
      </c>
      <c r="GK48" s="123">
        <v>544.726</v>
      </c>
      <c r="GL48" s="123">
        <v>308.306</v>
      </c>
      <c r="GM48" s="123">
        <v>356.201</v>
      </c>
      <c r="GN48" s="123">
        <v>256.269</v>
      </c>
      <c r="GO48" s="123">
        <v>324.448</v>
      </c>
      <c r="GP48" s="123">
        <v>377.68</v>
      </c>
      <c r="GQ48" s="123">
        <v>575.441</v>
      </c>
      <c r="GR48" s="123">
        <v>443.433</v>
      </c>
      <c r="GS48" s="123">
        <v>595.368</v>
      </c>
      <c r="GT48" s="123">
        <v>463.401</v>
      </c>
      <c r="GU48" s="123">
        <v>384.023</v>
      </c>
      <c r="GV48" s="123">
        <v>490.997</v>
      </c>
      <c r="GW48" s="123">
        <v>349.512</v>
      </c>
      <c r="GX48" s="123">
        <v>417.933</v>
      </c>
      <c r="GY48" s="123">
        <v>338.755</v>
      </c>
      <c r="GZ48" s="123">
        <v>411.884</v>
      </c>
      <c r="HA48" s="123">
        <v>320.112</v>
      </c>
      <c r="HB48" s="123">
        <v>298.825</v>
      </c>
      <c r="HC48" s="123">
        <v>282.025</v>
      </c>
      <c r="HD48" s="123">
        <v>423.397</v>
      </c>
      <c r="HE48" s="123">
        <v>445.216</v>
      </c>
      <c r="HF48" s="123">
        <v>309.447</v>
      </c>
      <c r="HG48" s="123">
        <v>473.974</v>
      </c>
      <c r="HH48" s="123">
        <v>387.391</v>
      </c>
      <c r="HI48" s="123">
        <v>356.216</v>
      </c>
      <c r="HJ48" s="123">
        <v>428.153</v>
      </c>
      <c r="HK48" s="123">
        <v>420</v>
      </c>
      <c r="HL48" s="123">
        <v>442.526</v>
      </c>
      <c r="HM48" s="123">
        <v>623.231</v>
      </c>
      <c r="HN48" s="123">
        <v>675.088</v>
      </c>
      <c r="HO48" s="123">
        <v>438.874</v>
      </c>
      <c r="HP48" s="123">
        <v>578.753</v>
      </c>
      <c r="HQ48" s="123">
        <v>757.702</v>
      </c>
      <c r="HR48" s="123">
        <v>551.928</v>
      </c>
      <c r="HS48" s="123">
        <v>824.507</v>
      </c>
      <c r="HT48" s="123">
        <v>551.113</v>
      </c>
      <c r="HU48" s="123">
        <v>584.293</v>
      </c>
      <c r="HV48" s="123"/>
      <c r="HW48" s="123"/>
      <c r="HX48" s="123"/>
      <c r="HY48" s="123"/>
      <c r="HZ48" s="123"/>
      <c r="IA48" s="123"/>
      <c r="IB48" s="123"/>
      <c r="IC48" s="123"/>
      <c r="ID48" s="150">
        <f t="shared" si="50"/>
        <v>1527.0280000000002</v>
      </c>
      <c r="IE48" s="150">
        <f t="shared" si="51"/>
        <v>2511.841</v>
      </c>
    </row>
    <row r="49" spans="1:239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75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>
        <v>7598.1770000000015</v>
      </c>
      <c r="DG49" s="123" t="s">
        <v>36</v>
      </c>
      <c r="DH49" s="123">
        <v>495.2</v>
      </c>
      <c r="DI49" s="123">
        <v>495.2</v>
      </c>
      <c r="DJ49" s="123">
        <v>495.2</v>
      </c>
      <c r="DK49" s="123">
        <v>570</v>
      </c>
      <c r="DL49" s="123">
        <v>570.2</v>
      </c>
      <c r="DM49" s="123">
        <v>770.2</v>
      </c>
      <c r="DN49" s="123">
        <v>924.3</v>
      </c>
      <c r="DO49" s="123">
        <v>924.3</v>
      </c>
      <c r="DP49" s="123">
        <v>1164.3</v>
      </c>
      <c r="DQ49" s="123">
        <v>1164.3</v>
      </c>
      <c r="DR49" s="123"/>
      <c r="DS49" s="123">
        <f t="shared" si="44"/>
        <v>1164.3</v>
      </c>
      <c r="DT49" s="123">
        <v>105</v>
      </c>
      <c r="DU49" s="123"/>
      <c r="DV49" s="123">
        <v>0</v>
      </c>
      <c r="DW49" s="123" t="s">
        <v>36</v>
      </c>
      <c r="DX49" s="123" t="s">
        <v>36</v>
      </c>
      <c r="DY49" s="123">
        <v>0</v>
      </c>
      <c r="DZ49" s="123">
        <v>8</v>
      </c>
      <c r="EA49" s="123">
        <v>19</v>
      </c>
      <c r="EB49" s="123">
        <v>0</v>
      </c>
      <c r="EC49" s="123">
        <v>0</v>
      </c>
      <c r="ED49" s="123"/>
      <c r="EE49" s="123"/>
      <c r="EF49" s="150">
        <f t="shared" si="45"/>
        <v>132</v>
      </c>
      <c r="EG49" s="123">
        <v>450</v>
      </c>
      <c r="EH49" s="123">
        <v>744</v>
      </c>
      <c r="EI49" s="123">
        <v>0</v>
      </c>
      <c r="EJ49" s="123">
        <v>1015.1</v>
      </c>
      <c r="EK49" s="123">
        <v>80</v>
      </c>
      <c r="EL49" s="123"/>
      <c r="EM49" s="123">
        <v>124</v>
      </c>
      <c r="EN49" s="123">
        <v>7558.64</v>
      </c>
      <c r="EO49" s="123">
        <v>1081.259</v>
      </c>
      <c r="EP49" s="123">
        <v>407.671</v>
      </c>
      <c r="EQ49" s="123">
        <v>710.1</v>
      </c>
      <c r="ER49" s="123">
        <v>54.1</v>
      </c>
      <c r="ES49" s="123">
        <f t="shared" si="46"/>
        <v>12224.87</v>
      </c>
      <c r="ET49" s="123" t="s">
        <v>36</v>
      </c>
      <c r="EU49" s="123">
        <v>4</v>
      </c>
      <c r="EV49" s="123">
        <v>0</v>
      </c>
      <c r="EW49" s="123">
        <v>50.22</v>
      </c>
      <c r="EX49" s="123">
        <v>53.893</v>
      </c>
      <c r="EY49" s="123">
        <v>251.4</v>
      </c>
      <c r="EZ49" s="123">
        <v>202.162</v>
      </c>
      <c r="FA49" s="123">
        <v>55.098</v>
      </c>
      <c r="FB49" s="123">
        <v>903.4</v>
      </c>
      <c r="FC49" s="123">
        <v>1427.51</v>
      </c>
      <c r="FD49" s="123">
        <v>1990.442</v>
      </c>
      <c r="FE49" s="123">
        <v>1305.9</v>
      </c>
      <c r="FF49" s="123">
        <f t="shared" si="47"/>
        <v>6244.025</v>
      </c>
      <c r="FG49" s="123">
        <v>185.505</v>
      </c>
      <c r="FH49" s="123">
        <v>5</v>
      </c>
      <c r="FI49" s="123">
        <v>27.35</v>
      </c>
      <c r="FJ49" s="123">
        <f>'[5]IV5-IV6'!$C$42</f>
        <v>1.515</v>
      </c>
      <c r="FK49" s="123">
        <v>1.667</v>
      </c>
      <c r="FL49" s="123">
        <v>0</v>
      </c>
      <c r="FM49" s="123">
        <v>53.915</v>
      </c>
      <c r="FN49" s="123">
        <v>0.27</v>
      </c>
      <c r="FO49" s="123">
        <v>0.36</v>
      </c>
      <c r="FP49" s="123">
        <v>47.5</v>
      </c>
      <c r="FQ49" s="123">
        <v>0.72</v>
      </c>
      <c r="FR49" s="123">
        <v>75.5</v>
      </c>
      <c r="FS49" s="123">
        <f t="shared" si="48"/>
        <v>399.302</v>
      </c>
      <c r="FT49" s="123">
        <v>5</v>
      </c>
      <c r="FU49" s="123">
        <v>96.83</v>
      </c>
      <c r="FV49" s="123">
        <v>0.996</v>
      </c>
      <c r="FW49" s="123">
        <v>115.029</v>
      </c>
      <c r="FX49" s="123">
        <v>108.194</v>
      </c>
      <c r="FY49" s="123">
        <v>72.146</v>
      </c>
      <c r="FZ49" s="123">
        <v>28.131</v>
      </c>
      <c r="GA49" s="123">
        <v>11.328</v>
      </c>
      <c r="GB49" s="123">
        <v>27.043</v>
      </c>
      <c r="GC49" s="123">
        <v>12.97</v>
      </c>
      <c r="GD49" s="123">
        <v>16.666</v>
      </c>
      <c r="GE49" s="123">
        <v>0.023</v>
      </c>
      <c r="GF49" s="123">
        <v>10.781</v>
      </c>
      <c r="GG49" s="123">
        <f t="shared" si="49"/>
        <v>500.13700000000006</v>
      </c>
      <c r="GH49" s="123">
        <v>29.603</v>
      </c>
      <c r="GI49" s="123">
        <v>67.352</v>
      </c>
      <c r="GJ49" s="123">
        <v>206.25</v>
      </c>
      <c r="GK49" s="123">
        <v>1.266</v>
      </c>
      <c r="GL49" s="123">
        <v>33.115</v>
      </c>
      <c r="GM49" s="123"/>
      <c r="GN49" s="123">
        <v>396.94</v>
      </c>
      <c r="GO49" s="123">
        <v>13.06</v>
      </c>
      <c r="GP49" s="123"/>
      <c r="GQ49" s="123">
        <v>14.697</v>
      </c>
      <c r="GR49" s="123">
        <v>110.369</v>
      </c>
      <c r="GS49" s="123">
        <v>55.643</v>
      </c>
      <c r="GT49" s="123">
        <v>29.12</v>
      </c>
      <c r="GU49" s="123">
        <v>28.6</v>
      </c>
      <c r="GV49" s="123">
        <v>44.317</v>
      </c>
      <c r="GW49" s="123">
        <v>210.98</v>
      </c>
      <c r="GX49" s="123">
        <v>73.551</v>
      </c>
      <c r="GY49" s="123">
        <v>0.251</v>
      </c>
      <c r="GZ49" s="123">
        <v>32.431</v>
      </c>
      <c r="HA49" s="123">
        <v>81.151</v>
      </c>
      <c r="HB49" s="123">
        <v>74.044</v>
      </c>
      <c r="HC49" s="123">
        <v>629.834</v>
      </c>
      <c r="HD49" s="123">
        <v>0.114</v>
      </c>
      <c r="HE49" s="123">
        <v>110</v>
      </c>
      <c r="HF49" s="123">
        <v>1283.176</v>
      </c>
      <c r="HG49" s="123">
        <v>107.398</v>
      </c>
      <c r="HH49" s="123">
        <v>78.805</v>
      </c>
      <c r="HI49" s="123">
        <v>58.217</v>
      </c>
      <c r="HJ49" s="123">
        <v>82.566</v>
      </c>
      <c r="HK49" s="123">
        <v>99.863</v>
      </c>
      <c r="HL49" s="123">
        <v>4931.55</v>
      </c>
      <c r="HM49" s="123">
        <v>106.292</v>
      </c>
      <c r="HN49" s="123">
        <v>163.178</v>
      </c>
      <c r="HO49" s="123">
        <v>67.959</v>
      </c>
      <c r="HP49" s="123">
        <v>29.064</v>
      </c>
      <c r="HQ49" s="123">
        <v>590.109</v>
      </c>
      <c r="HR49" s="123">
        <v>145.407</v>
      </c>
      <c r="HS49" s="123">
        <v>29.73</v>
      </c>
      <c r="HT49" s="123">
        <v>1304.362</v>
      </c>
      <c r="HU49" s="123">
        <v>1931.819</v>
      </c>
      <c r="HV49" s="123"/>
      <c r="HW49" s="123"/>
      <c r="HX49" s="123"/>
      <c r="HY49" s="123"/>
      <c r="HZ49" s="123"/>
      <c r="IA49" s="123"/>
      <c r="IB49" s="123"/>
      <c r="IC49" s="123"/>
      <c r="ID49" s="150">
        <f t="shared" si="50"/>
        <v>1527.596</v>
      </c>
      <c r="IE49" s="150">
        <f t="shared" si="51"/>
        <v>3411.318</v>
      </c>
    </row>
    <row r="50" spans="1:239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69335.748</v>
      </c>
      <c r="DG50" s="123">
        <v>1192.6</v>
      </c>
      <c r="DH50" s="123">
        <v>2331</v>
      </c>
      <c r="DI50" s="123">
        <v>3775.9</v>
      </c>
      <c r="DJ50" s="123">
        <v>4777.4</v>
      </c>
      <c r="DK50" s="123">
        <v>6123</v>
      </c>
      <c r="DL50" s="123">
        <v>7825.9</v>
      </c>
      <c r="DM50" s="123">
        <v>9101.9</v>
      </c>
      <c r="DN50" s="123">
        <v>10154.1</v>
      </c>
      <c r="DO50" s="123">
        <v>10732.1</v>
      </c>
      <c r="DP50" s="123">
        <v>11865.1</v>
      </c>
      <c r="DQ50" s="123">
        <v>13491.1</v>
      </c>
      <c r="DR50" s="123">
        <v>1283</v>
      </c>
      <c r="DS50" s="123">
        <f t="shared" si="44"/>
        <v>14774.1</v>
      </c>
      <c r="DT50" s="123">
        <v>2529</v>
      </c>
      <c r="DU50" s="123">
        <v>1537</v>
      </c>
      <c r="DV50" s="123">
        <v>1523</v>
      </c>
      <c r="DW50" s="123">
        <v>1707</v>
      </c>
      <c r="DX50" s="123">
        <f>'[1]Feuil2'!$D$11</f>
        <v>917.046</v>
      </c>
      <c r="DY50" s="123">
        <f>'[2]Feuil3'!$E$9</f>
        <v>1847.515</v>
      </c>
      <c r="DZ50" s="123">
        <v>1610</v>
      </c>
      <c r="EA50" s="123">
        <v>1202</v>
      </c>
      <c r="EB50" s="123">
        <v>2334.822</v>
      </c>
      <c r="EC50" s="123">
        <v>2318.125</v>
      </c>
      <c r="ED50" s="123">
        <v>1321</v>
      </c>
      <c r="EE50" s="123">
        <v>2609.46</v>
      </c>
      <c r="EF50" s="150">
        <f t="shared" si="45"/>
        <v>21455.968</v>
      </c>
      <c r="EG50" s="123">
        <v>2145</v>
      </c>
      <c r="EH50" s="123">
        <v>2699</v>
      </c>
      <c r="EI50" s="123">
        <v>2155</v>
      </c>
      <c r="EJ50" s="123">
        <v>868.171</v>
      </c>
      <c r="EK50" s="123">
        <v>2989.8</v>
      </c>
      <c r="EL50" s="123">
        <v>2987.2</v>
      </c>
      <c r="EM50" s="123">
        <v>2483.7</v>
      </c>
      <c r="EN50" s="123">
        <v>2595.9</v>
      </c>
      <c r="EO50" s="123">
        <v>2134.306</v>
      </c>
      <c r="EP50" s="123">
        <v>3211.992</v>
      </c>
      <c r="EQ50" s="123">
        <v>2355.7</v>
      </c>
      <c r="ER50" s="123">
        <v>3804.8</v>
      </c>
      <c r="ES50" s="123">
        <f t="shared" si="46"/>
        <v>30430.569000000003</v>
      </c>
      <c r="ET50" s="123">
        <v>2447.794</v>
      </c>
      <c r="EU50" s="123">
        <v>3191.217</v>
      </c>
      <c r="EV50" s="123">
        <f>'[4]IV5-IV6'!$D$13</f>
        <v>2154.627</v>
      </c>
      <c r="EW50" s="123">
        <v>1500.99</v>
      </c>
      <c r="EX50" s="123">
        <v>2247.3</v>
      </c>
      <c r="EY50" s="123">
        <v>2092.7</v>
      </c>
      <c r="EZ50" s="123">
        <v>2713.285</v>
      </c>
      <c r="FA50" s="152">
        <v>4365.849</v>
      </c>
      <c r="FB50" s="152">
        <v>6564.6</v>
      </c>
      <c r="FC50" s="123">
        <v>6649.744</v>
      </c>
      <c r="FD50" s="123">
        <v>8599.7</v>
      </c>
      <c r="FE50" s="123">
        <v>5257.769</v>
      </c>
      <c r="FF50" s="123">
        <f t="shared" si="47"/>
        <v>47785.575</v>
      </c>
      <c r="FG50" s="123">
        <v>16430.002</v>
      </c>
      <c r="FH50" s="123">
        <v>3453.839</v>
      </c>
      <c r="FI50" s="123">
        <v>1737.174</v>
      </c>
      <c r="FJ50" s="123">
        <f>'[5]IV5-IV6'!$C$30</f>
        <v>3629.852</v>
      </c>
      <c r="FK50" s="123">
        <v>1693.888</v>
      </c>
      <c r="FL50" s="123">
        <v>2848.9</v>
      </c>
      <c r="FM50" s="123">
        <v>2827.931</v>
      </c>
      <c r="FN50" s="123">
        <v>3597.468</v>
      </c>
      <c r="FO50" s="123">
        <v>4215.623</v>
      </c>
      <c r="FP50" s="123">
        <v>2840</v>
      </c>
      <c r="FQ50" s="123">
        <v>2295.955</v>
      </c>
      <c r="FR50" s="123">
        <v>3362.7</v>
      </c>
      <c r="FS50" s="123">
        <f t="shared" si="48"/>
        <v>48933.331999999995</v>
      </c>
      <c r="FT50" s="123">
        <v>3453.839</v>
      </c>
      <c r="FU50" s="123">
        <v>3884.37</v>
      </c>
      <c r="FV50" s="123">
        <v>3440.506</v>
      </c>
      <c r="FW50" s="123">
        <v>3227.285</v>
      </c>
      <c r="FX50" s="123">
        <v>7047.587</v>
      </c>
      <c r="FY50" s="123">
        <v>8638.545</v>
      </c>
      <c r="FZ50" s="123">
        <v>6536.73</v>
      </c>
      <c r="GA50" s="123">
        <v>8945.531</v>
      </c>
      <c r="GB50" s="123">
        <v>7315.801</v>
      </c>
      <c r="GC50" s="123">
        <v>7076.892</v>
      </c>
      <c r="GD50" s="123">
        <v>6479.434</v>
      </c>
      <c r="GE50" s="123">
        <v>5725.405</v>
      </c>
      <c r="GF50" s="123">
        <v>8646.101</v>
      </c>
      <c r="GG50" s="123">
        <f t="shared" si="49"/>
        <v>76964.187</v>
      </c>
      <c r="GH50" s="123">
        <v>7065.802</v>
      </c>
      <c r="GI50" s="123">
        <v>11754.549</v>
      </c>
      <c r="GJ50" s="123">
        <v>11162.582</v>
      </c>
      <c r="GK50" s="123">
        <v>4453.54</v>
      </c>
      <c r="GL50" s="123">
        <v>2789.331</v>
      </c>
      <c r="GM50" s="123">
        <v>3208.651</v>
      </c>
      <c r="GN50" s="123">
        <v>1957.144</v>
      </c>
      <c r="GO50" s="123">
        <v>1730.147</v>
      </c>
      <c r="GP50" s="123">
        <v>3547.722</v>
      </c>
      <c r="GQ50" s="123">
        <v>4338.41</v>
      </c>
      <c r="GR50" s="123">
        <v>2906.378</v>
      </c>
      <c r="GS50" s="123">
        <v>3391.706</v>
      </c>
      <c r="GT50" s="123">
        <v>2606.58</v>
      </c>
      <c r="GU50" s="123">
        <v>3071.156</v>
      </c>
      <c r="GV50" s="123">
        <v>3249.618</v>
      </c>
      <c r="GW50" s="123">
        <v>6056.854</v>
      </c>
      <c r="GX50" s="123">
        <v>6419.506</v>
      </c>
      <c r="GY50" s="123">
        <v>4275.689</v>
      </c>
      <c r="GZ50" s="123">
        <v>8386.521</v>
      </c>
      <c r="HA50" s="123">
        <v>17241.73</v>
      </c>
      <c r="HB50" s="123">
        <v>7966.882</v>
      </c>
      <c r="HC50" s="123">
        <v>4019.35</v>
      </c>
      <c r="HD50" s="123">
        <v>3181.542</v>
      </c>
      <c r="HE50" s="123">
        <v>3736.284</v>
      </c>
      <c r="HF50" s="123">
        <v>4027.92</v>
      </c>
      <c r="HG50" s="123">
        <v>4095.795</v>
      </c>
      <c r="HH50" s="123">
        <v>5939.903</v>
      </c>
      <c r="HI50" s="123">
        <v>4438.427</v>
      </c>
      <c r="HJ50" s="123">
        <v>5251.567</v>
      </c>
      <c r="HK50" s="123">
        <v>5846.867</v>
      </c>
      <c r="HL50" s="123">
        <v>5614.754</v>
      </c>
      <c r="HM50" s="123">
        <v>9791.772</v>
      </c>
      <c r="HN50" s="123">
        <v>8739.624</v>
      </c>
      <c r="HO50" s="123">
        <v>5159.104</v>
      </c>
      <c r="HP50" s="123">
        <v>4326.794</v>
      </c>
      <c r="HQ50" s="123">
        <v>6103.221</v>
      </c>
      <c r="HR50" s="123">
        <v>4353.432</v>
      </c>
      <c r="HS50" s="123">
        <v>4042.233</v>
      </c>
      <c r="HT50" s="123">
        <v>4972.152</v>
      </c>
      <c r="HU50" s="123">
        <v>3000.728</v>
      </c>
      <c r="HV50" s="123"/>
      <c r="HW50" s="123"/>
      <c r="HX50" s="123"/>
      <c r="HY50" s="123"/>
      <c r="HZ50" s="123"/>
      <c r="IA50" s="123"/>
      <c r="IB50" s="123"/>
      <c r="IC50" s="123"/>
      <c r="ID50" s="150">
        <f t="shared" si="50"/>
        <v>18502.045</v>
      </c>
      <c r="IE50" s="150">
        <f t="shared" si="51"/>
        <v>16368.545000000002</v>
      </c>
    </row>
    <row r="51" spans="1:239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>
        <v>446.07899999999995</v>
      </c>
      <c r="DG51" s="123" t="s">
        <v>36</v>
      </c>
      <c r="DH51" s="123" t="s">
        <v>36</v>
      </c>
      <c r="DI51" s="123" t="s">
        <v>86</v>
      </c>
      <c r="DJ51" s="123" t="s">
        <v>86</v>
      </c>
      <c r="DK51" s="123" t="s">
        <v>86</v>
      </c>
      <c r="DL51" s="123" t="s">
        <v>86</v>
      </c>
      <c r="DM51" s="123" t="s">
        <v>36</v>
      </c>
      <c r="DN51" s="123">
        <v>0.3</v>
      </c>
      <c r="DO51" s="123" t="s">
        <v>86</v>
      </c>
      <c r="DP51" s="123">
        <v>13.1</v>
      </c>
      <c r="DQ51" s="123">
        <v>13.1</v>
      </c>
      <c r="DR51" s="123"/>
      <c r="DS51" s="123">
        <f t="shared" si="44"/>
        <v>13.1</v>
      </c>
      <c r="DT51" s="123" t="s">
        <v>36</v>
      </c>
      <c r="DU51" s="123"/>
      <c r="DV51" s="123">
        <v>0</v>
      </c>
      <c r="DW51" s="123">
        <v>5</v>
      </c>
      <c r="DX51" s="123">
        <f>'[1]Feuil2'!$D$36</f>
        <v>5.414</v>
      </c>
      <c r="DY51" s="123">
        <v>0</v>
      </c>
      <c r="DZ51" s="123" t="s">
        <v>86</v>
      </c>
      <c r="EA51" s="123">
        <v>0</v>
      </c>
      <c r="EB51" s="123">
        <v>0</v>
      </c>
      <c r="EC51" s="123">
        <v>5.3</v>
      </c>
      <c r="ED51" s="123"/>
      <c r="EE51" s="123"/>
      <c r="EF51" s="150">
        <f t="shared" si="45"/>
        <v>15.713999999999999</v>
      </c>
      <c r="EG51" s="123">
        <v>0</v>
      </c>
      <c r="EH51" s="123" t="s">
        <v>86</v>
      </c>
      <c r="EI51" s="123">
        <v>0</v>
      </c>
      <c r="EJ51" s="123">
        <v>0</v>
      </c>
      <c r="EK51" s="123"/>
      <c r="EL51" s="123"/>
      <c r="EM51" s="123"/>
      <c r="EN51" s="123">
        <v>0</v>
      </c>
      <c r="EO51" s="123">
        <v>0</v>
      </c>
      <c r="EP51" s="123">
        <v>97.322</v>
      </c>
      <c r="EQ51" s="123"/>
      <c r="ER51" s="123"/>
      <c r="ES51" s="123">
        <f t="shared" si="46"/>
        <v>97.322</v>
      </c>
      <c r="ET51" s="123" t="s">
        <v>36</v>
      </c>
      <c r="EU51" s="123" t="s">
        <v>36</v>
      </c>
      <c r="EV51" s="123">
        <v>0</v>
      </c>
      <c r="EW51" s="123"/>
      <c r="EX51" s="123"/>
      <c r="EY51" s="123"/>
      <c r="EZ51" s="123"/>
      <c r="FA51" s="123">
        <v>0</v>
      </c>
      <c r="FB51" s="123">
        <v>0.6</v>
      </c>
      <c r="FC51" s="123">
        <v>4.96</v>
      </c>
      <c r="FD51" s="123">
        <v>0</v>
      </c>
      <c r="FE51" s="123">
        <v>64</v>
      </c>
      <c r="FF51" s="123">
        <f t="shared" si="47"/>
        <v>69.56</v>
      </c>
      <c r="FG51" s="123" t="s">
        <v>86</v>
      </c>
      <c r="FH51" s="123">
        <v>0</v>
      </c>
      <c r="FI51" s="123">
        <v>10.5</v>
      </c>
      <c r="FJ51" s="123">
        <f>'[5]IV5-IV6'!$C$43</f>
        <v>0.123</v>
      </c>
      <c r="FK51" s="123">
        <v>5.095</v>
      </c>
      <c r="FL51" s="123">
        <v>5.5</v>
      </c>
      <c r="FM51" s="123">
        <v>0</v>
      </c>
      <c r="FN51" s="123">
        <v>0</v>
      </c>
      <c r="FO51" s="123">
        <v>0</v>
      </c>
      <c r="FP51" s="123">
        <v>0</v>
      </c>
      <c r="FQ51" s="123">
        <v>0.007</v>
      </c>
      <c r="FR51" s="123">
        <v>4.9</v>
      </c>
      <c r="FS51" s="123">
        <f t="shared" si="48"/>
        <v>26.125</v>
      </c>
      <c r="FT51" s="123">
        <v>0</v>
      </c>
      <c r="FU51" s="123"/>
      <c r="FV51" s="123">
        <v>0</v>
      </c>
      <c r="FW51" s="123">
        <v>0</v>
      </c>
      <c r="FX51" s="123">
        <v>12.499</v>
      </c>
      <c r="FY51" s="123">
        <v>0.293</v>
      </c>
      <c r="FZ51" s="123">
        <v>0.062</v>
      </c>
      <c r="GA51" s="123">
        <v>7.515</v>
      </c>
      <c r="GB51" s="123"/>
      <c r="GC51" s="123">
        <v>0.356</v>
      </c>
      <c r="GD51" s="123">
        <v>0.38</v>
      </c>
      <c r="GE51" s="123">
        <v>88.171</v>
      </c>
      <c r="GF51" s="123">
        <v>0.067</v>
      </c>
      <c r="GG51" s="123">
        <f t="shared" si="49"/>
        <v>109.343</v>
      </c>
      <c r="GH51" s="123">
        <v>0.1</v>
      </c>
      <c r="GI51" s="123">
        <v>0</v>
      </c>
      <c r="GJ51" s="123">
        <v>0.481</v>
      </c>
      <c r="GK51" s="123">
        <v>0</v>
      </c>
      <c r="GL51" s="123"/>
      <c r="GM51" s="123"/>
      <c r="GN51" s="123">
        <v>0.066</v>
      </c>
      <c r="GO51" s="123">
        <v>4.807</v>
      </c>
      <c r="GP51" s="123">
        <v>0.004</v>
      </c>
      <c r="GQ51" s="123">
        <v>2.462</v>
      </c>
      <c r="GR51" s="123">
        <v>20.302</v>
      </c>
      <c r="GS51" s="123">
        <v>0.008</v>
      </c>
      <c r="GT51" s="123">
        <v>4.692</v>
      </c>
      <c r="GU51" s="123"/>
      <c r="GV51" s="123"/>
      <c r="GW51" s="123">
        <v>5.54</v>
      </c>
      <c r="GX51" s="123"/>
      <c r="GY51" s="123"/>
      <c r="GZ51" s="123">
        <v>0.012</v>
      </c>
      <c r="HA51" s="123">
        <v>9.511</v>
      </c>
      <c r="HB51" s="123"/>
      <c r="HC51" s="123"/>
      <c r="HD51" s="123"/>
      <c r="HE51" s="123"/>
      <c r="HF51" s="123">
        <v>4.697</v>
      </c>
      <c r="HG51" s="123"/>
      <c r="HH51" s="123">
        <v>112.113</v>
      </c>
      <c r="HI51" s="123"/>
      <c r="HJ51" s="123"/>
      <c r="HK51" s="123">
        <v>4.517</v>
      </c>
      <c r="HL51" s="123">
        <v>162.386</v>
      </c>
      <c r="HM51" s="123">
        <v>162.358</v>
      </c>
      <c r="HN51" s="123"/>
      <c r="HO51" s="123"/>
      <c r="HP51" s="123">
        <v>0.008</v>
      </c>
      <c r="HQ51" s="123"/>
      <c r="HR51" s="123"/>
      <c r="HS51" s="123">
        <v>0</v>
      </c>
      <c r="HT51" s="123">
        <v>4.835</v>
      </c>
      <c r="HU51" s="123">
        <v>0</v>
      </c>
      <c r="HV51" s="123"/>
      <c r="HW51" s="123"/>
      <c r="HX51" s="123"/>
      <c r="HY51" s="123"/>
      <c r="HZ51" s="123"/>
      <c r="IA51" s="123"/>
      <c r="IB51" s="123"/>
      <c r="IC51" s="123"/>
      <c r="ID51" s="150">
        <f t="shared" si="50"/>
        <v>116.81</v>
      </c>
      <c r="IE51" s="150">
        <f t="shared" si="51"/>
        <v>4.835</v>
      </c>
    </row>
    <row r="52" spans="1:239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79846.6</v>
      </c>
      <c r="DG52" s="123">
        <v>181.3</v>
      </c>
      <c r="DH52" s="123">
        <v>628.1</v>
      </c>
      <c r="DI52" s="123">
        <v>1171.6</v>
      </c>
      <c r="DJ52" s="123">
        <v>1843.1</v>
      </c>
      <c r="DK52" s="123">
        <v>2605</v>
      </c>
      <c r="DL52" s="123">
        <v>3033.2</v>
      </c>
      <c r="DM52" s="123">
        <v>3471.5</v>
      </c>
      <c r="DN52" s="123">
        <v>4471.1</v>
      </c>
      <c r="DO52" s="123">
        <v>5163.5</v>
      </c>
      <c r="DP52" s="123">
        <v>5720</v>
      </c>
      <c r="DQ52" s="123">
        <v>6252</v>
      </c>
      <c r="DR52" s="123">
        <v>665</v>
      </c>
      <c r="DS52" s="123">
        <f t="shared" si="44"/>
        <v>6917</v>
      </c>
      <c r="DT52" s="123">
        <v>314</v>
      </c>
      <c r="DU52" s="123">
        <v>613</v>
      </c>
      <c r="DV52" s="123">
        <v>780</v>
      </c>
      <c r="DW52" s="123">
        <v>773</v>
      </c>
      <c r="DX52" s="123">
        <f>'[1]Feuil2'!$D$20</f>
        <v>695.939</v>
      </c>
      <c r="DY52" s="123">
        <f>'[2]Feuil3'!$E$20</f>
        <v>902.236</v>
      </c>
      <c r="DZ52" s="123">
        <v>408</v>
      </c>
      <c r="EA52" s="123">
        <v>641</v>
      </c>
      <c r="EB52" s="123">
        <v>745.407</v>
      </c>
      <c r="EC52" s="123">
        <v>845.437</v>
      </c>
      <c r="ED52" s="123">
        <v>751</v>
      </c>
      <c r="EE52" s="123">
        <v>659.2</v>
      </c>
      <c r="EF52" s="150">
        <f t="shared" si="45"/>
        <v>8128.218999999999</v>
      </c>
      <c r="EG52" s="123">
        <v>453</v>
      </c>
      <c r="EH52" s="123">
        <v>368</v>
      </c>
      <c r="EI52" s="123">
        <v>1029</v>
      </c>
      <c r="EJ52" s="123">
        <v>2689.449</v>
      </c>
      <c r="EK52" s="123">
        <v>983.8</v>
      </c>
      <c r="EL52" s="123">
        <v>889</v>
      </c>
      <c r="EM52" s="123">
        <v>2344.2</v>
      </c>
      <c r="EN52" s="123">
        <v>908.24</v>
      </c>
      <c r="EO52" s="123">
        <v>1773.419</v>
      </c>
      <c r="EP52" s="123">
        <v>2766.036</v>
      </c>
      <c r="EQ52" s="123">
        <v>3451.6</v>
      </c>
      <c r="ER52" s="123">
        <v>3192.9</v>
      </c>
      <c r="ES52" s="123">
        <f t="shared" si="46"/>
        <v>20848.644</v>
      </c>
      <c r="ET52" s="123">
        <v>1967.875</v>
      </c>
      <c r="EU52" s="123">
        <v>1841.479</v>
      </c>
      <c r="EV52" s="123">
        <f>'[4]IV5-IV6'!$D$26</f>
        <v>1029.402</v>
      </c>
      <c r="EW52" s="123">
        <v>2358.83</v>
      </c>
      <c r="EX52" s="123">
        <v>1869.077</v>
      </c>
      <c r="EY52" s="123">
        <v>2852.8</v>
      </c>
      <c r="EZ52" s="123">
        <v>2410.599</v>
      </c>
      <c r="FA52" s="123">
        <v>2699.046</v>
      </c>
      <c r="FB52" s="123">
        <v>2512.8</v>
      </c>
      <c r="FC52" s="123">
        <v>3911.375</v>
      </c>
      <c r="FD52" s="123">
        <v>2961.031</v>
      </c>
      <c r="FE52" s="123">
        <v>2829.997</v>
      </c>
      <c r="FF52" s="123">
        <f t="shared" si="47"/>
        <v>29244.310999999998</v>
      </c>
      <c r="FG52" s="123">
        <v>2175.566</v>
      </c>
      <c r="FH52" s="123">
        <v>3407.651</v>
      </c>
      <c r="FI52" s="123">
        <v>1274.468</v>
      </c>
      <c r="FJ52" s="123">
        <f>'[5]IV5-IV6'!$C$36</f>
        <v>1670.23</v>
      </c>
      <c r="FK52" s="123">
        <v>3424.36</v>
      </c>
      <c r="FL52" s="123">
        <v>5295.5</v>
      </c>
      <c r="FM52" s="123">
        <v>4722.165</v>
      </c>
      <c r="FN52" s="123">
        <v>3802.477</v>
      </c>
      <c r="FO52" s="123">
        <v>3680.624</v>
      </c>
      <c r="FP52" s="123">
        <v>3396.5</v>
      </c>
      <c r="FQ52" s="123">
        <v>3992.625</v>
      </c>
      <c r="FR52" s="123">
        <v>4786.9</v>
      </c>
      <c r="FS52" s="123">
        <f t="shared" si="48"/>
        <v>41629.066</v>
      </c>
      <c r="FT52" s="123">
        <v>3407.651</v>
      </c>
      <c r="FU52" s="123">
        <v>4292.742</v>
      </c>
      <c r="FV52" s="123">
        <v>2885.915</v>
      </c>
      <c r="FW52" s="123">
        <v>2348.062</v>
      </c>
      <c r="FX52" s="123">
        <v>2118.629</v>
      </c>
      <c r="FY52" s="123">
        <v>5319.093</v>
      </c>
      <c r="FZ52" s="123">
        <v>4797.672</v>
      </c>
      <c r="GA52" s="123">
        <v>5733.163</v>
      </c>
      <c r="GB52" s="123">
        <v>4502.726</v>
      </c>
      <c r="GC52" s="123">
        <v>3933.192</v>
      </c>
      <c r="GD52" s="123">
        <v>4335.765</v>
      </c>
      <c r="GE52" s="123">
        <v>3718.075</v>
      </c>
      <c r="GF52" s="123">
        <v>4081.953</v>
      </c>
      <c r="GG52" s="123">
        <f t="shared" si="49"/>
        <v>48066.987</v>
      </c>
      <c r="GH52" s="123">
        <v>6446.449</v>
      </c>
      <c r="GI52" s="123">
        <v>7541.775</v>
      </c>
      <c r="GJ52" s="123">
        <v>8389.03</v>
      </c>
      <c r="GK52" s="123">
        <v>7665.801</v>
      </c>
      <c r="GL52" s="123">
        <v>7949.343</v>
      </c>
      <c r="GM52" s="123">
        <v>5827.046</v>
      </c>
      <c r="GN52" s="123">
        <v>10660.345</v>
      </c>
      <c r="GO52" s="123">
        <v>8662.8</v>
      </c>
      <c r="GP52" s="123">
        <v>9130.689</v>
      </c>
      <c r="GQ52" s="123">
        <v>10470.063</v>
      </c>
      <c r="GR52" s="123">
        <v>8214.405795605493</v>
      </c>
      <c r="GS52" s="123">
        <v>8602.143</v>
      </c>
      <c r="GT52" s="123">
        <v>6426.55</v>
      </c>
      <c r="GU52" s="123">
        <v>6038.27</v>
      </c>
      <c r="GV52" s="123">
        <v>7305.92</v>
      </c>
      <c r="GW52" s="123">
        <v>7521.363</v>
      </c>
      <c r="GX52" s="123">
        <v>7055.489</v>
      </c>
      <c r="GY52" s="123">
        <v>7239.32</v>
      </c>
      <c r="GZ52" s="123">
        <v>8087.975</v>
      </c>
      <c r="HA52" s="123">
        <v>8486.95</v>
      </c>
      <c r="HB52" s="123">
        <v>7803.739</v>
      </c>
      <c r="HC52" s="123">
        <v>7090.437</v>
      </c>
      <c r="HD52" s="123">
        <v>7561.929</v>
      </c>
      <c r="HE52" s="123">
        <v>8249.961</v>
      </c>
      <c r="HF52" s="123">
        <v>8641.12</v>
      </c>
      <c r="HG52" s="123">
        <v>5389.364</v>
      </c>
      <c r="HH52" s="123">
        <v>7212.1</v>
      </c>
      <c r="HI52" s="123">
        <v>6311.235</v>
      </c>
      <c r="HJ52" s="123">
        <v>4757.478</v>
      </c>
      <c r="HK52" s="123">
        <v>7485.113</v>
      </c>
      <c r="HL52" s="123">
        <v>5050.41</v>
      </c>
      <c r="HM52" s="123">
        <v>6597.544</v>
      </c>
      <c r="HN52" s="123">
        <v>7820.476</v>
      </c>
      <c r="HO52" s="123">
        <v>7205.215</v>
      </c>
      <c r="HP52" s="123">
        <v>7533.122</v>
      </c>
      <c r="HQ52" s="123">
        <v>5843.423</v>
      </c>
      <c r="HR52" s="123">
        <v>3104.194</v>
      </c>
      <c r="HS52" s="123">
        <v>2948.163</v>
      </c>
      <c r="HT52" s="123">
        <v>1854.563</v>
      </c>
      <c r="HU52" s="123">
        <v>2793.854</v>
      </c>
      <c r="HV52" s="123"/>
      <c r="HW52" s="123"/>
      <c r="HX52" s="123"/>
      <c r="HY52" s="123"/>
      <c r="HZ52" s="123"/>
      <c r="IA52" s="123"/>
      <c r="IB52" s="123"/>
      <c r="IC52" s="123"/>
      <c r="ID52" s="150">
        <f t="shared" si="50"/>
        <v>27553.819000000003</v>
      </c>
      <c r="IE52" s="150">
        <f t="shared" si="51"/>
        <v>10700.774</v>
      </c>
    </row>
    <row r="53" spans="1:239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10751.047999999999</v>
      </c>
      <c r="DG53" s="123">
        <v>3023.8</v>
      </c>
      <c r="DH53" s="123">
        <v>7271.8</v>
      </c>
      <c r="DI53" s="123">
        <v>7072.7</v>
      </c>
      <c r="DJ53" s="123">
        <v>9160</v>
      </c>
      <c r="DK53" s="123">
        <v>10477</v>
      </c>
      <c r="DL53" s="123">
        <f>13550.6-92.2</f>
        <v>13458.4</v>
      </c>
      <c r="DM53" s="123">
        <v>16315.9</v>
      </c>
      <c r="DN53" s="123">
        <v>18553.5</v>
      </c>
      <c r="DO53" s="123">
        <v>21124.5</v>
      </c>
      <c r="DP53" s="123">
        <v>21396.8</v>
      </c>
      <c r="DQ53" s="123">
        <v>22917.6</v>
      </c>
      <c r="DR53" s="123">
        <v>190</v>
      </c>
      <c r="DS53" s="123">
        <f t="shared" si="44"/>
        <v>23107.6</v>
      </c>
      <c r="DT53" s="123">
        <v>1196.0420000000026</v>
      </c>
      <c r="DU53" s="123">
        <v>1903.6000000000001</v>
      </c>
      <c r="DV53" s="123">
        <v>1562.7</v>
      </c>
      <c r="DW53" s="123">
        <v>1836</v>
      </c>
      <c r="DX53" s="123">
        <v>1294.9879999999998</v>
      </c>
      <c r="DY53" s="123">
        <v>1731.868</v>
      </c>
      <c r="DZ53" s="123">
        <v>1583.9709999999977</v>
      </c>
      <c r="EA53" s="123">
        <v>1786.357000000005</v>
      </c>
      <c r="EB53" s="123">
        <v>1232.4660000000001</v>
      </c>
      <c r="EC53" s="123">
        <v>2762.5339999999956</v>
      </c>
      <c r="ED53" s="123">
        <v>2354.550000000009</v>
      </c>
      <c r="EE53" s="123">
        <v>2932.2670750670222</v>
      </c>
      <c r="EF53" s="150">
        <f t="shared" si="45"/>
        <v>22177.343075067034</v>
      </c>
      <c r="EG53" s="123">
        <v>1386.5749999999612</v>
      </c>
      <c r="EH53" s="123">
        <v>1743.7139999999856</v>
      </c>
      <c r="EI53" s="123">
        <v>2474.606</v>
      </c>
      <c r="EJ53" s="123">
        <v>1543.040999999977</v>
      </c>
      <c r="EK53" s="123">
        <v>1757.0729999999999</v>
      </c>
      <c r="EL53" s="123">
        <v>5847.12000000001</v>
      </c>
      <c r="EM53" s="123">
        <v>3260.2689999999757</v>
      </c>
      <c r="EN53" s="123">
        <v>2213.3910000000155</v>
      </c>
      <c r="EO53" s="123">
        <v>3456.397000000003</v>
      </c>
      <c r="EP53" s="123">
        <v>4430.155</v>
      </c>
      <c r="EQ53" s="123">
        <v>2475.365999999993</v>
      </c>
      <c r="ER53" s="123">
        <f>0.2+2668.8+87.6+0.7+12.2+28.8+260.2+683.2</f>
        <v>3741.7</v>
      </c>
      <c r="ES53" s="123">
        <f t="shared" si="46"/>
        <v>34329.40699999992</v>
      </c>
      <c r="ET53" s="123">
        <v>3188.6209999999996</v>
      </c>
      <c r="EU53" s="123">
        <v>2236.8109999999997</v>
      </c>
      <c r="EV53" s="123">
        <v>2495.915999999998</v>
      </c>
      <c r="EW53" s="123">
        <v>1779.9039999999968</v>
      </c>
      <c r="EX53" s="123">
        <v>1645.5010000000013</v>
      </c>
      <c r="EY53" s="123">
        <v>2304.292999999999</v>
      </c>
      <c r="EZ53" s="123">
        <v>2257.014999999994</v>
      </c>
      <c r="FA53" s="123">
        <v>1889.46200000001</v>
      </c>
      <c r="FB53" s="123">
        <v>1786.379</v>
      </c>
      <c r="FC53" s="123">
        <v>1222.9980000000003</v>
      </c>
      <c r="FD53" s="123">
        <v>1938.65</v>
      </c>
      <c r="FE53" s="123">
        <v>1179.2799999999916</v>
      </c>
      <c r="FF53" s="123">
        <f t="shared" si="47"/>
        <v>23924.82999999999</v>
      </c>
      <c r="FG53" s="123">
        <v>2262.34104199999</v>
      </c>
      <c r="FH53" s="123">
        <v>7440.52099999999</v>
      </c>
      <c r="FI53" s="123">
        <v>7442.177000000001</v>
      </c>
      <c r="FJ53" s="123">
        <v>9786.323000000002</v>
      </c>
      <c r="FK53" s="123">
        <v>7387.81</v>
      </c>
      <c r="FL53" s="123">
        <v>6579.68</v>
      </c>
      <c r="FM53" s="123">
        <f>7830.721-0.004</f>
        <v>7830.717</v>
      </c>
      <c r="FN53" s="123">
        <v>8904.835000000001</v>
      </c>
      <c r="FO53" s="123">
        <f>8190.762-2</f>
        <v>8188.762</v>
      </c>
      <c r="FP53" s="123">
        <v>8940.534000000032</v>
      </c>
      <c r="FQ53" s="123">
        <v>9600.343</v>
      </c>
      <c r="FR53" s="123">
        <v>5355.6</v>
      </c>
      <c r="FS53" s="123">
        <f t="shared" si="48"/>
        <v>89719.64304200001</v>
      </c>
      <c r="FT53" s="123">
        <v>7440.52099999999</v>
      </c>
      <c r="FU53" s="123">
        <v>8827.089</v>
      </c>
      <c r="FV53" s="123">
        <v>8486.806</v>
      </c>
      <c r="FW53" s="123">
        <v>6171.299000000001</v>
      </c>
      <c r="FX53" s="123">
        <v>2690.7830000000004</v>
      </c>
      <c r="FY53" s="123">
        <v>1359.7420000000002</v>
      </c>
      <c r="FZ53" s="123">
        <v>2546.1859999999997</v>
      </c>
      <c r="GA53" s="123">
        <v>2158.132</v>
      </c>
      <c r="GB53" s="123">
        <v>2474.621</v>
      </c>
      <c r="GC53" s="123">
        <v>8495.353</v>
      </c>
      <c r="GD53" s="123">
        <v>4042.6659999999997</v>
      </c>
      <c r="GE53" s="123">
        <v>5894.533000000001</v>
      </c>
      <c r="GF53" s="123">
        <v>3893.045</v>
      </c>
      <c r="GG53" s="123">
        <f t="shared" si="49"/>
        <v>57040.25500000001</v>
      </c>
      <c r="GH53" s="123">
        <v>6773.708000000001</v>
      </c>
      <c r="GI53" s="123">
        <v>3769.5480000000002</v>
      </c>
      <c r="GJ53" s="123">
        <v>2277.384</v>
      </c>
      <c r="GK53" s="123">
        <v>1653.8</v>
      </c>
      <c r="GL53" s="123">
        <v>2280.807</v>
      </c>
      <c r="GM53" s="123">
        <v>7155.0509999999995</v>
      </c>
      <c r="GN53" s="123">
        <v>3314.101000000001</v>
      </c>
      <c r="GO53" s="123">
        <v>7741.623000000001</v>
      </c>
      <c r="GP53" s="123">
        <v>11103.445</v>
      </c>
      <c r="GQ53" s="123">
        <v>14273.478</v>
      </c>
      <c r="GR53" s="123">
        <v>9136.081999999999</v>
      </c>
      <c r="GS53" s="123">
        <v>9344.090999999997</v>
      </c>
      <c r="GT53" s="123">
        <v>237.027</v>
      </c>
      <c r="GU53" s="123">
        <v>149.66899999999998</v>
      </c>
      <c r="GV53" s="123">
        <v>153.30900000000003</v>
      </c>
      <c r="GW53" s="123">
        <v>195.02599999999998</v>
      </c>
      <c r="GX53" s="123">
        <v>567.648</v>
      </c>
      <c r="GY53" s="123">
        <v>267.25399999999996</v>
      </c>
      <c r="GZ53" s="123">
        <v>132.426</v>
      </c>
      <c r="HA53" s="123">
        <v>624.642</v>
      </c>
      <c r="HB53" s="123">
        <v>653.3779999999999</v>
      </c>
      <c r="HC53" s="123">
        <v>1394.381</v>
      </c>
      <c r="HD53" s="123">
        <v>304.428</v>
      </c>
      <c r="HE53" s="123">
        <v>381.685</v>
      </c>
      <c r="HF53" s="123">
        <v>1267.2679999999996</v>
      </c>
      <c r="HG53" s="123">
        <v>1174.3799999999999</v>
      </c>
      <c r="HH53" s="123">
        <v>302.68299999999994</v>
      </c>
      <c r="HI53" s="123">
        <v>882.7589999999999</v>
      </c>
      <c r="HJ53" s="123">
        <v>260.98400000000004</v>
      </c>
      <c r="HK53" s="123">
        <v>1137.47</v>
      </c>
      <c r="HL53" s="123">
        <v>1010.8509999999999</v>
      </c>
      <c r="HM53" s="123">
        <v>844.809</v>
      </c>
      <c r="HN53" s="123">
        <v>934.5459999999999</v>
      </c>
      <c r="HO53" s="123">
        <v>428.323</v>
      </c>
      <c r="HP53" s="123">
        <v>1940.632</v>
      </c>
      <c r="HQ53" s="123">
        <v>566.343</v>
      </c>
      <c r="HR53" s="123">
        <v>6486.359</v>
      </c>
      <c r="HS53" s="123">
        <v>963.963</v>
      </c>
      <c r="HT53" s="123">
        <v>956.295</v>
      </c>
      <c r="HU53" s="123">
        <v>848.9769999999999</v>
      </c>
      <c r="HV53" s="123"/>
      <c r="HW53" s="123"/>
      <c r="HX53" s="123"/>
      <c r="HY53" s="123"/>
      <c r="HZ53" s="123"/>
      <c r="IA53" s="123"/>
      <c r="IB53" s="123"/>
      <c r="IC53" s="123"/>
      <c r="ID53" s="150">
        <f t="shared" si="50"/>
        <v>3627.0899999999992</v>
      </c>
      <c r="IE53" s="150">
        <f t="shared" si="51"/>
        <v>9255.594000000001</v>
      </c>
    </row>
    <row r="54" spans="1:239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50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47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50"/>
      <c r="IE54" s="150"/>
    </row>
    <row r="55" spans="1:239" ht="15.75">
      <c r="A55" s="130" t="s">
        <v>61</v>
      </c>
      <c r="B55" s="65">
        <f aca="true" t="shared" si="52" ref="B55:AW55">SUM(B57:B66)</f>
        <v>72852</v>
      </c>
      <c r="C55" s="65">
        <f t="shared" si="52"/>
        <v>75697</v>
      </c>
      <c r="D55" s="65">
        <f t="shared" si="52"/>
        <v>78389</v>
      </c>
      <c r="E55" s="65">
        <f t="shared" si="52"/>
        <v>94524</v>
      </c>
      <c r="F55" s="65">
        <f t="shared" si="52"/>
        <v>95952</v>
      </c>
      <c r="G55" s="65">
        <f t="shared" si="52"/>
        <v>94587</v>
      </c>
      <c r="H55" s="65">
        <f t="shared" si="52"/>
        <v>124060</v>
      </c>
      <c r="I55" s="65">
        <f t="shared" si="52"/>
        <v>130907</v>
      </c>
      <c r="J55" s="65">
        <f t="shared" si="52"/>
        <v>113477</v>
      </c>
      <c r="K55" s="65">
        <f t="shared" si="52"/>
        <v>111920</v>
      </c>
      <c r="L55" s="65">
        <f t="shared" si="52"/>
        <v>89201</v>
      </c>
      <c r="M55" s="65">
        <f t="shared" si="52"/>
        <v>51482</v>
      </c>
      <c r="N55" s="65">
        <f t="shared" si="52"/>
        <v>51658</v>
      </c>
      <c r="O55" s="65">
        <f t="shared" si="52"/>
        <v>82549</v>
      </c>
      <c r="P55" s="65">
        <f t="shared" si="52"/>
        <v>83736</v>
      </c>
      <c r="Q55" s="65">
        <f t="shared" si="52"/>
        <v>5615</v>
      </c>
      <c r="R55" s="65">
        <f t="shared" si="52"/>
        <v>6282</v>
      </c>
      <c r="S55" s="65">
        <f t="shared" si="52"/>
        <v>8556</v>
      </c>
      <c r="T55" s="65">
        <f t="shared" si="52"/>
        <v>11426</v>
      </c>
      <c r="U55" s="65">
        <f t="shared" si="52"/>
        <v>7383</v>
      </c>
      <c r="V55" s="65">
        <f t="shared" si="52"/>
        <v>4490</v>
      </c>
      <c r="W55" s="65">
        <f t="shared" si="52"/>
        <v>5319</v>
      </c>
      <c r="X55" s="65">
        <f t="shared" si="52"/>
        <v>8106</v>
      </c>
      <c r="Y55" s="65">
        <f t="shared" si="52"/>
        <v>7303</v>
      </c>
      <c r="Z55" s="65">
        <f t="shared" si="52"/>
        <v>6929</v>
      </c>
      <c r="AA55" s="65">
        <f t="shared" si="52"/>
        <v>5917</v>
      </c>
      <c r="AB55" s="65">
        <f t="shared" si="52"/>
        <v>6410</v>
      </c>
      <c r="AC55" s="65">
        <f t="shared" si="52"/>
        <v>83736</v>
      </c>
      <c r="AD55" s="65">
        <f t="shared" si="52"/>
        <v>102631</v>
      </c>
      <c r="AE55" s="65">
        <f t="shared" si="52"/>
        <v>7100</v>
      </c>
      <c r="AF55" s="65">
        <f t="shared" si="52"/>
        <v>8525</v>
      </c>
      <c r="AG55" s="65">
        <f t="shared" si="52"/>
        <v>8688</v>
      </c>
      <c r="AH55" s="65">
        <f t="shared" si="52"/>
        <v>6824</v>
      </c>
      <c r="AI55" s="65">
        <f t="shared" si="52"/>
        <v>10312</v>
      </c>
      <c r="AJ55" s="65">
        <f t="shared" si="52"/>
        <v>9416</v>
      </c>
      <c r="AK55" s="65">
        <f t="shared" si="52"/>
        <v>5916</v>
      </c>
      <c r="AL55" s="65">
        <f t="shared" si="52"/>
        <v>9642</v>
      </c>
      <c r="AM55" s="65">
        <f t="shared" si="52"/>
        <v>10452</v>
      </c>
      <c r="AN55" s="65">
        <f t="shared" si="52"/>
        <v>9091</v>
      </c>
      <c r="AO55" s="65">
        <f t="shared" si="52"/>
        <v>8895</v>
      </c>
      <c r="AP55" s="65">
        <f t="shared" si="52"/>
        <v>7770</v>
      </c>
      <c r="AQ55" s="65">
        <f t="shared" si="52"/>
        <v>102631</v>
      </c>
      <c r="AR55" s="65">
        <f t="shared" si="52"/>
        <v>92156</v>
      </c>
      <c r="AS55" s="65">
        <f t="shared" si="52"/>
        <v>127431</v>
      </c>
      <c r="AT55" s="65">
        <f t="shared" si="52"/>
        <v>180286</v>
      </c>
      <c r="AU55" s="65">
        <f t="shared" si="52"/>
        <v>179191</v>
      </c>
      <c r="AV55" s="65">
        <f t="shared" si="52"/>
        <v>171564.60000000003</v>
      </c>
      <c r="AW55" s="65">
        <f t="shared" si="52"/>
        <v>145930</v>
      </c>
      <c r="AX55" s="65">
        <f aca="true" t="shared" si="53" ref="AX55:CY55">SUM(AX57:AX66)</f>
        <v>10071</v>
      </c>
      <c r="AY55" s="65">
        <f t="shared" si="53"/>
        <v>13711</v>
      </c>
      <c r="AZ55" s="65">
        <f t="shared" si="53"/>
        <v>18773</v>
      </c>
      <c r="BA55" s="65">
        <f t="shared" si="53"/>
        <v>13661</v>
      </c>
      <c r="BB55" s="65">
        <f t="shared" si="53"/>
        <v>12651</v>
      </c>
      <c r="BC55" s="65">
        <f t="shared" si="53"/>
        <v>18893</v>
      </c>
      <c r="BD55" s="65">
        <f t="shared" si="53"/>
        <v>14926</v>
      </c>
      <c r="BE55" s="65">
        <f t="shared" si="53"/>
        <v>13438</v>
      </c>
      <c r="BF55" s="65">
        <f t="shared" si="53"/>
        <v>15073</v>
      </c>
      <c r="BG55" s="65">
        <f t="shared" si="53"/>
        <v>15484</v>
      </c>
      <c r="BH55" s="65">
        <f t="shared" si="53"/>
        <v>14974</v>
      </c>
      <c r="BI55" s="65">
        <f t="shared" si="53"/>
        <v>17536</v>
      </c>
      <c r="BJ55" s="65">
        <f t="shared" si="53"/>
        <v>179191</v>
      </c>
      <c r="BK55" s="65">
        <f t="shared" si="53"/>
        <v>11577</v>
      </c>
      <c r="BL55" s="65">
        <f t="shared" si="53"/>
        <v>11447</v>
      </c>
      <c r="BM55" s="65">
        <f t="shared" si="53"/>
        <v>18773</v>
      </c>
      <c r="BN55" s="65">
        <f t="shared" si="53"/>
        <v>20660</v>
      </c>
      <c r="BO55" s="65">
        <f t="shared" si="53"/>
        <v>15225</v>
      </c>
      <c r="BP55" s="65">
        <f t="shared" si="53"/>
        <v>13784</v>
      </c>
      <c r="BQ55" s="65">
        <f t="shared" si="53"/>
        <v>10191.1</v>
      </c>
      <c r="BR55" s="65">
        <f t="shared" si="53"/>
        <v>13105.100000000002</v>
      </c>
      <c r="BS55" s="65">
        <f t="shared" si="53"/>
        <v>15909.199999999999</v>
      </c>
      <c r="BT55" s="65">
        <f t="shared" si="53"/>
        <v>13535.2</v>
      </c>
      <c r="BU55" s="65">
        <f t="shared" si="53"/>
        <v>16059</v>
      </c>
      <c r="BV55" s="65">
        <f t="shared" si="53"/>
        <v>11299</v>
      </c>
      <c r="BW55" s="65">
        <f t="shared" si="53"/>
        <v>171564.60000000003</v>
      </c>
      <c r="BX55" s="65">
        <f t="shared" si="53"/>
        <v>11892</v>
      </c>
      <c r="BY55" s="65">
        <f t="shared" si="53"/>
        <v>10428.3</v>
      </c>
      <c r="BZ55" s="65">
        <f t="shared" si="53"/>
        <v>14364.400000000001</v>
      </c>
      <c r="CA55" s="65">
        <f t="shared" si="53"/>
        <v>9511.2</v>
      </c>
      <c r="CB55" s="65">
        <f t="shared" si="53"/>
        <v>10553.099999999999</v>
      </c>
      <c r="CC55" s="65">
        <f t="shared" si="53"/>
        <v>12118.099999999997</v>
      </c>
      <c r="CD55" s="65">
        <f t="shared" si="53"/>
        <v>12311.4</v>
      </c>
      <c r="CE55" s="65">
        <f t="shared" si="53"/>
        <v>13657.199999999995</v>
      </c>
      <c r="CF55" s="65">
        <f t="shared" si="53"/>
        <v>11587.200000000003</v>
      </c>
      <c r="CG55" s="65">
        <f t="shared" si="53"/>
        <v>13434.800000000003</v>
      </c>
      <c r="CH55" s="65">
        <f t="shared" si="53"/>
        <v>14042.8</v>
      </c>
      <c r="CI55" s="65">
        <f t="shared" si="53"/>
        <v>12029.500000000004</v>
      </c>
      <c r="CJ55" s="65">
        <f t="shared" si="53"/>
        <v>145930</v>
      </c>
      <c r="CK55" s="65">
        <f t="shared" si="53"/>
        <v>22320.3</v>
      </c>
      <c r="CL55" s="65">
        <f t="shared" si="53"/>
        <v>36684.7</v>
      </c>
      <c r="CM55" s="65">
        <f t="shared" si="53"/>
        <v>46195.899999999994</v>
      </c>
      <c r="CN55" s="65">
        <f t="shared" si="53"/>
        <v>56749</v>
      </c>
      <c r="CO55" s="65">
        <f t="shared" si="53"/>
        <v>68867.1</v>
      </c>
      <c r="CP55" s="65">
        <f t="shared" si="53"/>
        <v>81178.5</v>
      </c>
      <c r="CQ55" s="65">
        <f t="shared" si="53"/>
        <v>94835.7</v>
      </c>
      <c r="CR55" s="65">
        <f t="shared" si="53"/>
        <v>106422.90000000001</v>
      </c>
      <c r="CS55" s="65">
        <f t="shared" si="53"/>
        <v>119857.70000000001</v>
      </c>
      <c r="CT55" s="65">
        <f t="shared" si="53"/>
        <v>133900.5</v>
      </c>
      <c r="CU55" s="65">
        <f t="shared" si="53"/>
        <v>145930</v>
      </c>
      <c r="CV55" s="65">
        <f t="shared" si="53"/>
        <v>155480.9</v>
      </c>
      <c r="CW55" s="65">
        <f t="shared" si="53"/>
        <v>167997.9</v>
      </c>
      <c r="CX55" s="65">
        <f t="shared" si="53"/>
        <v>217011.09999999998</v>
      </c>
      <c r="CY55" s="145">
        <f t="shared" si="53"/>
        <v>303762.08999999997</v>
      </c>
      <c r="CZ55" s="125">
        <f aca="true" t="shared" si="54" ref="CZ55:EQ55">SUM(CZ57:CZ66)</f>
        <v>403857.738</v>
      </c>
      <c r="DA55" s="125">
        <f t="shared" si="54"/>
        <v>420779.1439999999</v>
      </c>
      <c r="DB55" s="125">
        <f t="shared" si="54"/>
        <v>456630.4279580001</v>
      </c>
      <c r="DC55" s="125">
        <f t="shared" si="54"/>
        <v>430424.0026180374</v>
      </c>
      <c r="DD55" s="125">
        <f t="shared" si="54"/>
        <v>316128.941</v>
      </c>
      <c r="DE55" s="125">
        <f t="shared" si="54"/>
        <v>340884.55100000004</v>
      </c>
      <c r="DF55" s="125">
        <f t="shared" si="54"/>
        <v>366103.7043200001</v>
      </c>
      <c r="DG55" s="125">
        <f t="shared" si="54"/>
        <v>15105.800000000001</v>
      </c>
      <c r="DH55" s="125">
        <f t="shared" si="54"/>
        <v>30082.4</v>
      </c>
      <c r="DI55" s="125">
        <f t="shared" si="54"/>
        <v>50116.999999999985</v>
      </c>
      <c r="DJ55" s="125">
        <f t="shared" si="54"/>
        <v>67795.8</v>
      </c>
      <c r="DK55" s="125">
        <f t="shared" si="54"/>
        <v>81773.7</v>
      </c>
      <c r="DL55" s="125">
        <f t="shared" si="54"/>
        <v>102506.20000000001</v>
      </c>
      <c r="DM55" s="125">
        <f t="shared" si="54"/>
        <v>121749.4</v>
      </c>
      <c r="DN55" s="125">
        <f t="shared" si="54"/>
        <v>145787.33000000002</v>
      </c>
      <c r="DO55" s="125">
        <f t="shared" si="54"/>
        <v>165106.40000000002</v>
      </c>
      <c r="DP55" s="125">
        <f t="shared" si="54"/>
        <v>181682.9</v>
      </c>
      <c r="DQ55" s="125">
        <f t="shared" si="54"/>
        <v>197251.09999999998</v>
      </c>
      <c r="DR55" s="125">
        <f t="shared" si="54"/>
        <v>19760</v>
      </c>
      <c r="DS55" s="125">
        <f t="shared" si="54"/>
        <v>217011.09999999998</v>
      </c>
      <c r="DT55" s="125">
        <f t="shared" si="54"/>
        <v>22776</v>
      </c>
      <c r="DU55" s="125">
        <f t="shared" si="54"/>
        <v>19187</v>
      </c>
      <c r="DV55" s="125">
        <f t="shared" si="54"/>
        <v>22607</v>
      </c>
      <c r="DW55" s="125">
        <f t="shared" si="54"/>
        <v>20136</v>
      </c>
      <c r="DX55" s="125">
        <f t="shared" si="54"/>
        <v>16517.106</v>
      </c>
      <c r="DY55" s="125">
        <f t="shared" si="54"/>
        <v>20121.361999999997</v>
      </c>
      <c r="DZ55" s="125">
        <f t="shared" si="54"/>
        <v>19593.7</v>
      </c>
      <c r="EA55" s="125">
        <f t="shared" si="54"/>
        <v>31039.1</v>
      </c>
      <c r="EB55" s="125">
        <f t="shared" si="54"/>
        <v>30711.490999999998</v>
      </c>
      <c r="EC55" s="125">
        <f t="shared" si="54"/>
        <v>29123.860999999997</v>
      </c>
      <c r="ED55" s="125">
        <f t="shared" si="54"/>
        <v>35820.6</v>
      </c>
      <c r="EE55" s="125">
        <f t="shared" si="54"/>
        <v>36128.87</v>
      </c>
      <c r="EF55" s="125">
        <f t="shared" si="54"/>
        <v>303762.08999999997</v>
      </c>
      <c r="EG55" s="125">
        <f t="shared" si="54"/>
        <v>31562.4</v>
      </c>
      <c r="EH55" s="125">
        <f t="shared" si="54"/>
        <v>33584.5</v>
      </c>
      <c r="EI55" s="125">
        <f t="shared" si="54"/>
        <v>29639.4</v>
      </c>
      <c r="EJ55" s="125">
        <f t="shared" si="54"/>
        <v>30350.387000000002</v>
      </c>
      <c r="EK55" s="125">
        <f t="shared" si="54"/>
        <v>22934.299999999996</v>
      </c>
      <c r="EL55" s="125">
        <f t="shared" si="54"/>
        <v>30846.3</v>
      </c>
      <c r="EM55" s="125">
        <f t="shared" si="54"/>
        <v>30088.100000000002</v>
      </c>
      <c r="EN55" s="125">
        <f t="shared" si="54"/>
        <v>41117.270000000004</v>
      </c>
      <c r="EO55" s="125">
        <f t="shared" si="54"/>
        <v>46009.62499999999</v>
      </c>
      <c r="EP55" s="125">
        <f t="shared" si="54"/>
        <v>33529.255999999994</v>
      </c>
      <c r="EQ55" s="125">
        <f t="shared" si="54"/>
        <v>37494.299999999996</v>
      </c>
      <c r="ER55" s="125">
        <f aca="true" t="shared" si="55" ref="ER55:HC55">SUM(ER57:ER66)</f>
        <v>36701.899999999994</v>
      </c>
      <c r="ES55" s="125">
        <f t="shared" si="55"/>
        <v>403857.738</v>
      </c>
      <c r="ET55" s="125">
        <f t="shared" si="55"/>
        <v>27903.634</v>
      </c>
      <c r="EU55" s="125">
        <f t="shared" si="55"/>
        <v>33770.649</v>
      </c>
      <c r="EV55" s="125">
        <f t="shared" si="55"/>
        <v>29637.185999999998</v>
      </c>
      <c r="EW55" s="125">
        <f t="shared" si="55"/>
        <v>36757.5</v>
      </c>
      <c r="EX55" s="125">
        <f t="shared" si="55"/>
        <v>34097.156</v>
      </c>
      <c r="EY55" s="125">
        <f t="shared" si="55"/>
        <v>34854.3</v>
      </c>
      <c r="EZ55" s="125">
        <f t="shared" si="55"/>
        <v>32561.939000000002</v>
      </c>
      <c r="FA55" s="125">
        <f t="shared" si="55"/>
        <v>38934.792</v>
      </c>
      <c r="FB55" s="125">
        <f t="shared" si="55"/>
        <v>32328.521</v>
      </c>
      <c r="FC55" s="125">
        <f t="shared" si="55"/>
        <v>34640.746999999996</v>
      </c>
      <c r="FD55" s="125">
        <f t="shared" si="55"/>
        <v>34301.823</v>
      </c>
      <c r="FE55" s="125">
        <f t="shared" si="55"/>
        <v>50990.897000000004</v>
      </c>
      <c r="FF55" s="125">
        <f t="shared" si="55"/>
        <v>420779.1439999999</v>
      </c>
      <c r="FG55" s="125">
        <f t="shared" si="55"/>
        <v>34904.512958</v>
      </c>
      <c r="FH55" s="125">
        <f t="shared" si="55"/>
        <v>38864.317</v>
      </c>
      <c r="FI55" s="125">
        <f t="shared" si="55"/>
        <v>25829.845999999998</v>
      </c>
      <c r="FJ55" s="125">
        <f t="shared" si="55"/>
        <v>30477.802999999996</v>
      </c>
      <c r="FK55" s="125">
        <f t="shared" si="55"/>
        <v>25923.414</v>
      </c>
      <c r="FL55" s="125">
        <f t="shared" si="55"/>
        <v>31018.8</v>
      </c>
      <c r="FM55" s="125">
        <f t="shared" si="55"/>
        <v>32610.464999999997</v>
      </c>
      <c r="FN55" s="125">
        <f t="shared" si="55"/>
        <v>38548.051999999996</v>
      </c>
      <c r="FO55" s="125">
        <f t="shared" si="55"/>
        <v>39228.58900000001</v>
      </c>
      <c r="FP55" s="125">
        <f t="shared" si="55"/>
        <v>28389.299999999996</v>
      </c>
      <c r="FQ55" s="125">
        <f t="shared" si="55"/>
        <v>28927.029</v>
      </c>
      <c r="FR55" s="125">
        <f t="shared" si="55"/>
        <v>101908.30000000002</v>
      </c>
      <c r="FS55" s="125">
        <f t="shared" si="55"/>
        <v>456630.4279580001</v>
      </c>
      <c r="FT55" s="125">
        <f t="shared" si="55"/>
        <v>38864.317</v>
      </c>
      <c r="FU55" s="125">
        <f t="shared" si="55"/>
        <v>48080.43800000001</v>
      </c>
      <c r="FV55" s="125">
        <f t="shared" si="55"/>
        <v>48328.941</v>
      </c>
      <c r="FW55" s="125">
        <f t="shared" si="55"/>
        <v>45638.76500000001</v>
      </c>
      <c r="FX55" s="125">
        <f t="shared" si="55"/>
        <v>22287.612000000005</v>
      </c>
      <c r="FY55" s="125">
        <f t="shared" si="55"/>
        <v>25353.659</v>
      </c>
      <c r="FZ55" s="125">
        <f t="shared" si="55"/>
        <v>25542.40561803731</v>
      </c>
      <c r="GA55" s="125">
        <f t="shared" si="55"/>
        <v>33682.524000000005</v>
      </c>
      <c r="GB55" s="125">
        <f t="shared" si="55"/>
        <v>40968.802</v>
      </c>
      <c r="GC55" s="125">
        <f t="shared" si="55"/>
        <v>38832.519</v>
      </c>
      <c r="GD55" s="125">
        <f t="shared" si="55"/>
        <v>33036.023</v>
      </c>
      <c r="GE55" s="125">
        <f t="shared" si="55"/>
        <v>34651.55300000001</v>
      </c>
      <c r="GF55" s="125">
        <f t="shared" si="55"/>
        <v>34020.761</v>
      </c>
      <c r="GG55" s="125">
        <f t="shared" si="55"/>
        <v>430424.0026180374</v>
      </c>
      <c r="GH55" s="125">
        <f t="shared" si="55"/>
        <v>31124.38</v>
      </c>
      <c r="GI55" s="125">
        <f t="shared" si="55"/>
        <v>25679.222999999998</v>
      </c>
      <c r="GJ55" s="125">
        <f t="shared" si="55"/>
        <v>24293.926</v>
      </c>
      <c r="GK55" s="125">
        <f t="shared" si="55"/>
        <v>27579.983999999997</v>
      </c>
      <c r="GL55" s="125">
        <f t="shared" si="55"/>
        <v>17621.128</v>
      </c>
      <c r="GM55" s="125">
        <f t="shared" si="55"/>
        <v>22883.689</v>
      </c>
      <c r="GN55" s="125">
        <f t="shared" si="55"/>
        <v>24144.777</v>
      </c>
      <c r="GO55" s="125">
        <f t="shared" si="55"/>
        <v>36657.64000000001</v>
      </c>
      <c r="GP55" s="125">
        <f t="shared" si="55"/>
        <v>44481.606</v>
      </c>
      <c r="GQ55" s="125">
        <f t="shared" si="55"/>
        <v>27326.007999999998</v>
      </c>
      <c r="GR55" s="125">
        <f t="shared" si="55"/>
        <v>34016.939</v>
      </c>
      <c r="GS55" s="125">
        <f t="shared" si="55"/>
        <v>33491.361</v>
      </c>
      <c r="GT55" s="125">
        <f t="shared" si="55"/>
        <v>24466.237</v>
      </c>
      <c r="GU55" s="125">
        <f t="shared" si="55"/>
        <v>33680.704</v>
      </c>
      <c r="GV55" s="125">
        <f t="shared" si="55"/>
        <v>34313.216</v>
      </c>
      <c r="GW55" s="125">
        <f t="shared" si="55"/>
        <v>27322.071</v>
      </c>
      <c r="GX55" s="125">
        <f t="shared" si="55"/>
        <v>22819.52</v>
      </c>
      <c r="GY55" s="125">
        <f t="shared" si="55"/>
        <v>29165.181</v>
      </c>
      <c r="GZ55" s="125">
        <f t="shared" si="55"/>
        <v>27890.445</v>
      </c>
      <c r="HA55" s="125">
        <f t="shared" si="55"/>
        <v>30266.781</v>
      </c>
      <c r="HB55" s="125">
        <f t="shared" si="55"/>
        <v>30417.164999999997</v>
      </c>
      <c r="HC55" s="125">
        <f t="shared" si="55"/>
        <v>27933.629</v>
      </c>
      <c r="HD55" s="125">
        <f>SUM(HD57:HD66)</f>
        <v>26006.509000000002</v>
      </c>
      <c r="HE55" s="125">
        <f aca="true" t="shared" si="56" ref="HE55:ID55">SUM(HE57:HE66)</f>
        <v>26603.092999999997</v>
      </c>
      <c r="HF55" s="125">
        <f t="shared" si="56"/>
        <v>27967.16</v>
      </c>
      <c r="HG55" s="125">
        <f t="shared" si="56"/>
        <v>23892.341999999997</v>
      </c>
      <c r="HH55" s="125">
        <f t="shared" si="56"/>
        <v>28290.058</v>
      </c>
      <c r="HI55" s="125">
        <f t="shared" si="56"/>
        <v>22763.989999999998</v>
      </c>
      <c r="HJ55" s="125">
        <f t="shared" si="56"/>
        <v>31881.676</v>
      </c>
      <c r="HK55" s="125">
        <f t="shared" si="56"/>
        <v>22623.471</v>
      </c>
      <c r="HL55" s="125">
        <f t="shared" si="56"/>
        <v>27326.24798</v>
      </c>
      <c r="HM55" s="125">
        <f t="shared" si="56"/>
        <v>36908.482560000004</v>
      </c>
      <c r="HN55" s="125">
        <f t="shared" si="56"/>
        <v>33597.281780000005</v>
      </c>
      <c r="HO55" s="125">
        <f t="shared" si="56"/>
        <v>43725.096999999994</v>
      </c>
      <c r="HP55" s="125">
        <f t="shared" si="56"/>
        <v>35268.706</v>
      </c>
      <c r="HQ55" s="125">
        <f t="shared" si="56"/>
        <v>31859.191999999995</v>
      </c>
      <c r="HR55" s="125">
        <f t="shared" si="56"/>
        <v>30662.065000000006</v>
      </c>
      <c r="HS55" s="125">
        <f t="shared" si="56"/>
        <v>32081.839</v>
      </c>
      <c r="HT55" s="125">
        <f t="shared" si="56"/>
        <v>31666.944</v>
      </c>
      <c r="HU55" s="125">
        <f t="shared" si="56"/>
        <v>24467.787</v>
      </c>
      <c r="HV55" s="125">
        <f t="shared" si="56"/>
        <v>0</v>
      </c>
      <c r="HW55" s="125">
        <f t="shared" si="56"/>
        <v>0</v>
      </c>
      <c r="HX55" s="125">
        <f t="shared" si="56"/>
        <v>0</v>
      </c>
      <c r="HY55" s="125">
        <f t="shared" si="56"/>
        <v>0</v>
      </c>
      <c r="HZ55" s="125">
        <f t="shared" si="56"/>
        <v>0</v>
      </c>
      <c r="IA55" s="125">
        <f t="shared" si="56"/>
        <v>0</v>
      </c>
      <c r="IB55" s="125">
        <f t="shared" si="56"/>
        <v>0</v>
      </c>
      <c r="IC55" s="125">
        <f t="shared" si="56"/>
        <v>0</v>
      </c>
      <c r="ID55" s="125">
        <f t="shared" si="56"/>
        <v>102913.55</v>
      </c>
      <c r="IE55" s="125">
        <f>SUM(IE57:IE66)</f>
        <v>118878.63500000001</v>
      </c>
    </row>
    <row r="56" spans="1:239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50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47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5"/>
      <c r="IE56" s="125"/>
    </row>
    <row r="57" spans="1:239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7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8" ref="AC57:AC65">Q57+R57+S57+T57+U57+V57+W57+X57+Y57+Z57+AA57+AB57</f>
        <v>7691</v>
      </c>
      <c r="AD57" s="49">
        <f aca="true" t="shared" si="59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60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61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2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3" ref="BZ57:BZ65">CL57-BY57-BX57</f>
        <v>883.4000000000001</v>
      </c>
      <c r="CA57" s="17">
        <f aca="true" t="shared" si="64" ref="CA57:CA65">CM57-BZ57-BY57-BX57</f>
        <v>763.8</v>
      </c>
      <c r="CB57" s="17">
        <f aca="true" t="shared" si="65" ref="CB57:CB65">CN57-CA57-BZ57-BY57-BX57</f>
        <v>303.4999999999998</v>
      </c>
      <c r="CC57" s="17">
        <f aca="true" t="shared" si="66" ref="CC57:CC65">CO57-CB57-CA57-BZ57-BY57-BX57</f>
        <v>308.9000000000003</v>
      </c>
      <c r="CD57" s="17">
        <f aca="true" t="shared" si="67" ref="CD57:CD65">CP57-CC57-CB57-CA57-BZ57-BY57-BX57</f>
        <v>190.09999999999945</v>
      </c>
      <c r="CE57" s="17">
        <f aca="true" t="shared" si="68" ref="CE57:CE65">CQ57-CD57-CC57-CB57-CA57-BZ57-BY57-BX57</f>
        <v>462.10000000000014</v>
      </c>
      <c r="CF57" s="17">
        <f aca="true" t="shared" si="69" ref="CF57:CF65">CR57-CE57-CD57-CC57-CB57-CA57-BZ57-BY57-BX57</f>
        <v>237.1999999999996</v>
      </c>
      <c r="CG57" s="17">
        <f aca="true" t="shared" si="70" ref="CG57:CG65">CS57-CF57-CE57-CD57-CC57-CB57-CA57-BZ57-BY57-BX57</f>
        <v>417.4999999999998</v>
      </c>
      <c r="CH57" s="17">
        <f aca="true" t="shared" si="71" ref="CH57:CH65">CT57-CG57-CF57-CE57-CD57-CC57-CB57-CA57-BZ57-BY57-BX57</f>
        <v>312.9999999999998</v>
      </c>
      <c r="CI57" s="17">
        <f aca="true" t="shared" si="72" ref="CI57:CI65">CU57-CH57-CG57-CF57-CE57-CD57-CC57-CB57-CA57-BZ57-BY57-BX57</f>
        <v>633.1999999999996</v>
      </c>
      <c r="CJ57" s="87">
        <f aca="true" t="shared" si="73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7856.04032</v>
      </c>
      <c r="DG57" s="123">
        <v>14</v>
      </c>
      <c r="DH57" s="123">
        <v>262.7</v>
      </c>
      <c r="DI57" s="123">
        <v>503</v>
      </c>
      <c r="DJ57" s="123">
        <v>773.9</v>
      </c>
      <c r="DK57" s="123">
        <v>1604</v>
      </c>
      <c r="DL57" s="123">
        <v>1802.7</v>
      </c>
      <c r="DM57" s="123">
        <v>2086</v>
      </c>
      <c r="DN57" s="123">
        <v>2205.7</v>
      </c>
      <c r="DO57" s="123">
        <v>2483.5</v>
      </c>
      <c r="DP57" s="123">
        <v>2569.3</v>
      </c>
      <c r="DQ57" s="123">
        <v>2948.3</v>
      </c>
      <c r="DR57" s="123">
        <v>318</v>
      </c>
      <c r="DS57" s="123">
        <f>DQ57+DR57</f>
        <v>3266.3</v>
      </c>
      <c r="DT57" s="123">
        <v>1112</v>
      </c>
      <c r="DU57" s="123">
        <v>235</v>
      </c>
      <c r="DV57" s="123">
        <v>272</v>
      </c>
      <c r="DW57" s="123">
        <v>146</v>
      </c>
      <c r="DX57" s="123">
        <f>'[1]Feuil2'!$D$4</f>
        <v>285.699</v>
      </c>
      <c r="DY57" s="123">
        <f>'[2]Feuil3'!$E$4</f>
        <v>295.889</v>
      </c>
      <c r="DZ57" s="123">
        <v>320</v>
      </c>
      <c r="EA57" s="123">
        <v>191</v>
      </c>
      <c r="EB57" s="123">
        <v>44.644</v>
      </c>
      <c r="EC57" s="123">
        <v>418.794</v>
      </c>
      <c r="ED57" s="123">
        <v>1759</v>
      </c>
      <c r="EE57" s="123">
        <v>164</v>
      </c>
      <c r="EF57" s="150">
        <f aca="true" t="shared" si="74" ref="EF57:EF66">SUM(DT57:EE57)</f>
        <v>5244.026</v>
      </c>
      <c r="EG57" s="123">
        <v>253</v>
      </c>
      <c r="EH57" s="123">
        <v>507</v>
      </c>
      <c r="EI57" s="123">
        <v>651</v>
      </c>
      <c r="EJ57" s="123">
        <f>'[3]avril pays'!$C$2</f>
        <v>632.335</v>
      </c>
      <c r="EK57" s="123">
        <v>1840.1</v>
      </c>
      <c r="EL57" s="123">
        <v>1081.6</v>
      </c>
      <c r="EM57" s="123">
        <v>858.9</v>
      </c>
      <c r="EN57" s="123">
        <v>152.58</v>
      </c>
      <c r="EO57" s="123">
        <v>1485.118</v>
      </c>
      <c r="EP57" s="123">
        <v>1855.491</v>
      </c>
      <c r="EQ57" s="123">
        <v>1341.9</v>
      </c>
      <c r="ER57" s="123">
        <v>1907.4</v>
      </c>
      <c r="ES57" s="123">
        <f aca="true" t="shared" si="75" ref="ES57:ES66">SUM(EG57:ER57)</f>
        <v>12566.423999999999</v>
      </c>
      <c r="ET57" s="123">
        <v>1310.232</v>
      </c>
      <c r="EU57" s="123">
        <v>162.414</v>
      </c>
      <c r="EV57" s="123">
        <f>'[4]IV5-IV6'!$D$4</f>
        <v>650.797</v>
      </c>
      <c r="EW57" s="123">
        <v>1658.28</v>
      </c>
      <c r="EX57" s="123">
        <v>1272.776</v>
      </c>
      <c r="EY57" s="123">
        <v>1980.2</v>
      </c>
      <c r="EZ57" s="123">
        <v>1500.317</v>
      </c>
      <c r="FA57" s="123">
        <v>1741.236</v>
      </c>
      <c r="FB57" s="123">
        <v>2361.6</v>
      </c>
      <c r="FC57" s="123">
        <v>2588.475</v>
      </c>
      <c r="FD57" s="123">
        <v>1939.132</v>
      </c>
      <c r="FE57" s="123">
        <v>1628.736</v>
      </c>
      <c r="FF57" s="123">
        <f aca="true" t="shared" si="76" ref="FF57:FF66">SUM(ET57:FE57)</f>
        <v>18794.195000000003</v>
      </c>
      <c r="FG57" s="123">
        <v>3291.299</v>
      </c>
      <c r="FH57" s="123">
        <v>1130.402</v>
      </c>
      <c r="FI57" s="123">
        <v>2273.272</v>
      </c>
      <c r="FJ57" s="123">
        <f>'[5]IV5-IV6'!$C$3</f>
        <v>1027.707</v>
      </c>
      <c r="FK57" s="123">
        <v>884.52</v>
      </c>
      <c r="FL57" s="123">
        <v>75.5</v>
      </c>
      <c r="FM57" s="123">
        <v>1421.597</v>
      </c>
      <c r="FN57" s="123">
        <v>455.029</v>
      </c>
      <c r="FO57" s="123">
        <v>1379.521</v>
      </c>
      <c r="FP57" s="123">
        <v>1039.1</v>
      </c>
      <c r="FQ57" s="123">
        <v>934.829</v>
      </c>
      <c r="FR57" s="123">
        <v>1179.7</v>
      </c>
      <c r="FS57" s="123">
        <f aca="true" t="shared" si="77" ref="FS57:FS66">+FG57+FH57+FI57+FJ57+FK57+FL57+FM57+FN57+FO57+FP57+FQ57+FR57</f>
        <v>15092.476000000002</v>
      </c>
      <c r="FT57" s="123">
        <v>1130.402</v>
      </c>
      <c r="FU57" s="123">
        <v>1029.783</v>
      </c>
      <c r="FV57" s="123">
        <v>1185.274</v>
      </c>
      <c r="FW57" s="123">
        <v>1908.488</v>
      </c>
      <c r="FX57" s="123">
        <v>2456.81</v>
      </c>
      <c r="FY57" s="123">
        <v>1687.229</v>
      </c>
      <c r="FZ57" s="123">
        <v>1514.386</v>
      </c>
      <c r="GA57" s="123">
        <v>1245.336</v>
      </c>
      <c r="GB57" s="123">
        <v>1346.78</v>
      </c>
      <c r="GC57" s="123">
        <v>2547.576</v>
      </c>
      <c r="GD57" s="123">
        <v>968.342</v>
      </c>
      <c r="GE57" s="123">
        <v>2428.931</v>
      </c>
      <c r="GF57" s="123">
        <v>1770.436</v>
      </c>
      <c r="GG57" s="123">
        <f aca="true" t="shared" si="78" ref="GG57:GG66">SUM(FU57:GF57)</f>
        <v>20089.371000000003</v>
      </c>
      <c r="GH57" s="123">
        <v>2922.153</v>
      </c>
      <c r="GI57" s="123">
        <v>1990.024</v>
      </c>
      <c r="GJ57" s="123">
        <v>1187.239</v>
      </c>
      <c r="GK57" s="123">
        <v>1540.912</v>
      </c>
      <c r="GL57" s="123">
        <v>745.387</v>
      </c>
      <c r="GM57" s="123">
        <v>2272.463</v>
      </c>
      <c r="GN57" s="123">
        <v>1940.206</v>
      </c>
      <c r="GO57" s="123">
        <v>4295.698</v>
      </c>
      <c r="GP57" s="123">
        <v>3756.897</v>
      </c>
      <c r="GQ57" s="123">
        <v>3965.153</v>
      </c>
      <c r="GR57" s="123">
        <v>2909.973</v>
      </c>
      <c r="GS57" s="123">
        <v>4064.238</v>
      </c>
      <c r="GT57" s="123">
        <v>1226.652</v>
      </c>
      <c r="GU57" s="123">
        <v>1283.304</v>
      </c>
      <c r="GV57" s="123">
        <v>8126.435</v>
      </c>
      <c r="GW57" s="123">
        <v>269.807</v>
      </c>
      <c r="GX57" s="123">
        <v>364.864</v>
      </c>
      <c r="GY57" s="123">
        <v>282.575</v>
      </c>
      <c r="GZ57" s="123">
        <v>3562.786</v>
      </c>
      <c r="HA57" s="123">
        <v>45.753</v>
      </c>
      <c r="HB57" s="123">
        <v>21.146</v>
      </c>
      <c r="HC57" s="123">
        <v>36.598</v>
      </c>
      <c r="HD57" s="123">
        <v>25.828</v>
      </c>
      <c r="HE57" s="123">
        <v>47.071</v>
      </c>
      <c r="HF57" s="123">
        <v>35.223</v>
      </c>
      <c r="HG57" s="123">
        <v>20.562</v>
      </c>
      <c r="HH57" s="123">
        <v>992.975</v>
      </c>
      <c r="HI57" s="123">
        <v>35.835</v>
      </c>
      <c r="HJ57" s="123">
        <v>923.791</v>
      </c>
      <c r="HK57" s="123">
        <v>977.653</v>
      </c>
      <c r="HL57" s="123">
        <v>169.69098000000002</v>
      </c>
      <c r="HM57" s="123">
        <v>1507.40156</v>
      </c>
      <c r="HN57" s="123">
        <v>250.27678</v>
      </c>
      <c r="HO57" s="123">
        <v>2283.961</v>
      </c>
      <c r="HP57" s="123">
        <v>83.694</v>
      </c>
      <c r="HQ57" s="123">
        <v>574.977</v>
      </c>
      <c r="HR57" s="123">
        <v>84.901</v>
      </c>
      <c r="HS57" s="123">
        <v>140.034</v>
      </c>
      <c r="HT57" s="123">
        <v>30.936</v>
      </c>
      <c r="HU57" s="123">
        <v>453.349</v>
      </c>
      <c r="HV57" s="123"/>
      <c r="HW57" s="123"/>
      <c r="HX57" s="123"/>
      <c r="HY57" s="123"/>
      <c r="HZ57" s="123"/>
      <c r="IA57" s="123"/>
      <c r="IB57" s="123"/>
      <c r="IC57" s="123"/>
      <c r="ID57" s="150">
        <f>HF57+HG57+HH57+HI57</f>
        <v>1084.595</v>
      </c>
      <c r="IE57" s="150">
        <f>HR57+HS57+HT57+HU57</f>
        <v>709.22</v>
      </c>
    </row>
    <row r="58" spans="1:239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7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8"/>
        <v>277</v>
      </c>
      <c r="AD58" s="49">
        <f t="shared" si="59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60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61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2"/>
        <v>2.5</v>
      </c>
      <c r="BX58" s="42" t="s">
        <v>36</v>
      </c>
      <c r="BY58" s="17" t="s">
        <v>36</v>
      </c>
      <c r="BZ58" s="17">
        <f t="shared" si="63"/>
        <v>10.5</v>
      </c>
      <c r="CA58" s="17">
        <f t="shared" si="64"/>
        <v>0</v>
      </c>
      <c r="CB58" s="17">
        <f t="shared" si="65"/>
        <v>0.5</v>
      </c>
      <c r="CC58" s="17">
        <f t="shared" si="66"/>
        <v>0</v>
      </c>
      <c r="CD58" s="17">
        <f t="shared" si="67"/>
        <v>7.100000000000001</v>
      </c>
      <c r="CE58" s="17">
        <f t="shared" si="68"/>
        <v>0</v>
      </c>
      <c r="CF58" s="17">
        <f t="shared" si="69"/>
        <v>0</v>
      </c>
      <c r="CG58" s="17">
        <f t="shared" si="70"/>
        <v>0</v>
      </c>
      <c r="CH58" s="17">
        <f t="shared" si="71"/>
        <v>0</v>
      </c>
      <c r="CI58" s="17">
        <f t="shared" si="72"/>
        <v>-0.10000000000000142</v>
      </c>
      <c r="CJ58" s="87">
        <f t="shared" si="73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>
        <v>12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 t="s">
        <v>36</v>
      </c>
      <c r="DR58" s="123"/>
      <c r="DS58" s="123" t="s">
        <v>36</v>
      </c>
      <c r="DT58" s="123" t="s">
        <v>36</v>
      </c>
      <c r="DU58" s="123"/>
      <c r="DV58" s="123">
        <v>0</v>
      </c>
      <c r="DW58" s="123" t="s">
        <v>36</v>
      </c>
      <c r="DX58" s="123" t="s">
        <v>36</v>
      </c>
      <c r="DY58" s="123">
        <v>0</v>
      </c>
      <c r="DZ58" s="123">
        <v>0</v>
      </c>
      <c r="EA58" s="123">
        <v>0</v>
      </c>
      <c r="EB58" s="123">
        <v>0.234</v>
      </c>
      <c r="EC58" s="123">
        <v>79.564</v>
      </c>
      <c r="ED58" s="123">
        <v>0</v>
      </c>
      <c r="EE58" s="123">
        <v>38.4</v>
      </c>
      <c r="EF58" s="150">
        <f t="shared" si="74"/>
        <v>118.19799999999998</v>
      </c>
      <c r="EG58" s="123">
        <v>0</v>
      </c>
      <c r="EH58" s="123"/>
      <c r="EI58" s="123">
        <v>0</v>
      </c>
      <c r="EJ58" s="123">
        <v>0</v>
      </c>
      <c r="EK58" s="123"/>
      <c r="EL58" s="123"/>
      <c r="EM58" s="123"/>
      <c r="EN58" s="123">
        <v>0</v>
      </c>
      <c r="EO58" s="123">
        <v>0</v>
      </c>
      <c r="EP58" s="123">
        <v>14.909</v>
      </c>
      <c r="EQ58" s="123"/>
      <c r="ER58" s="123"/>
      <c r="ES58" s="123">
        <f t="shared" si="75"/>
        <v>14.909</v>
      </c>
      <c r="ET58" s="123">
        <v>3</v>
      </c>
      <c r="EU58" s="123" t="s">
        <v>36</v>
      </c>
      <c r="EV58" s="123">
        <v>0</v>
      </c>
      <c r="EW58" s="123"/>
      <c r="EX58" s="123"/>
      <c r="EY58" s="123"/>
      <c r="EZ58" s="123"/>
      <c r="FA58" s="123">
        <v>0</v>
      </c>
      <c r="FB58" s="123">
        <v>69</v>
      </c>
      <c r="FC58" s="123">
        <v>0</v>
      </c>
      <c r="FD58" s="123">
        <v>0</v>
      </c>
      <c r="FE58" s="123"/>
      <c r="FF58" s="123">
        <f t="shared" si="76"/>
        <v>72</v>
      </c>
      <c r="FG58" s="123" t="s">
        <v>36</v>
      </c>
      <c r="FH58" s="123">
        <v>0</v>
      </c>
      <c r="FI58" s="123">
        <v>0</v>
      </c>
      <c r="FJ58" s="123">
        <v>0</v>
      </c>
      <c r="FK58" s="123">
        <v>0</v>
      </c>
      <c r="FL58" s="123">
        <v>50.4</v>
      </c>
      <c r="FM58" s="123">
        <v>0</v>
      </c>
      <c r="FN58" s="123">
        <v>0</v>
      </c>
      <c r="FO58" s="123"/>
      <c r="FP58" s="123">
        <v>0</v>
      </c>
      <c r="FQ58" s="123">
        <v>0</v>
      </c>
      <c r="FR58" s="123">
        <v>0</v>
      </c>
      <c r="FS58" s="123">
        <f t="shared" si="77"/>
        <v>50.4</v>
      </c>
      <c r="FT58" s="123">
        <v>0</v>
      </c>
      <c r="FU58" s="123"/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>
        <v>0</v>
      </c>
      <c r="GC58" s="123"/>
      <c r="GD58" s="123"/>
      <c r="GE58" s="123"/>
      <c r="GF58" s="123"/>
      <c r="GG58" s="123">
        <f t="shared" si="78"/>
        <v>0</v>
      </c>
      <c r="GH58" s="123"/>
      <c r="GI58" s="123">
        <v>0</v>
      </c>
      <c r="GJ58" s="123"/>
      <c r="GK58" s="123">
        <v>0</v>
      </c>
      <c r="GL58" s="123"/>
      <c r="GM58" s="123">
        <v>2.4</v>
      </c>
      <c r="GN58" s="123"/>
      <c r="GO58" s="123"/>
      <c r="GP58" s="123"/>
      <c r="GQ58" s="123"/>
      <c r="GR58" s="123">
        <v>0.008</v>
      </c>
      <c r="GS58" s="123">
        <v>0.024</v>
      </c>
      <c r="GT58" s="123">
        <v>0.117</v>
      </c>
      <c r="GU58" s="123"/>
      <c r="GV58" s="123"/>
      <c r="GW58" s="123"/>
      <c r="GX58" s="123"/>
      <c r="GY58" s="123"/>
      <c r="GZ58" s="123"/>
      <c r="HA58" s="123"/>
      <c r="HB58" s="123"/>
      <c r="HC58" s="123">
        <v>5.66</v>
      </c>
      <c r="HD58" s="123"/>
      <c r="HE58" s="123"/>
      <c r="HF58" s="123"/>
      <c r="HG58" s="123"/>
      <c r="HH58" s="123"/>
      <c r="HI58" s="123">
        <v>12</v>
      </c>
      <c r="HJ58" s="123"/>
      <c r="HK58" s="123">
        <v>0</v>
      </c>
      <c r="HL58" s="123"/>
      <c r="HM58" s="123"/>
      <c r="HN58" s="123"/>
      <c r="HO58" s="123"/>
      <c r="HP58" s="123"/>
      <c r="HQ58" s="123"/>
      <c r="HR58" s="123"/>
      <c r="HS58" s="123">
        <v>0</v>
      </c>
      <c r="HT58" s="123">
        <v>0</v>
      </c>
      <c r="HU58" s="123">
        <v>0</v>
      </c>
      <c r="HV58" s="123"/>
      <c r="HW58" s="123"/>
      <c r="HX58" s="123"/>
      <c r="HY58" s="123"/>
      <c r="HZ58" s="123"/>
      <c r="IA58" s="123"/>
      <c r="IB58" s="123"/>
      <c r="IC58" s="123"/>
      <c r="ID58" s="150">
        <f aca="true" t="shared" si="79" ref="ID58:ID66">HF58+HG58+HH58+HI58</f>
        <v>12</v>
      </c>
      <c r="IE58" s="150">
        <f aca="true" t="shared" si="80" ref="IE58:IE66">HR58+HS58+HT58+HU58</f>
        <v>0</v>
      </c>
    </row>
    <row r="59" spans="1:239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7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8"/>
        <v>6890</v>
      </c>
      <c r="AD59" s="49">
        <f t="shared" si="59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60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61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2"/>
        <v>37030.399999999994</v>
      </c>
      <c r="BX59" s="42">
        <v>2557</v>
      </c>
      <c r="BY59" s="17">
        <f aca="true" t="shared" si="81" ref="BY59:BY65">CK59-BX59</f>
        <v>1752.8999999999996</v>
      </c>
      <c r="BZ59" s="17">
        <f t="shared" si="63"/>
        <v>2985.9000000000005</v>
      </c>
      <c r="CA59" s="17">
        <f t="shared" si="64"/>
        <v>2262.9000000000005</v>
      </c>
      <c r="CB59" s="17">
        <f t="shared" si="65"/>
        <v>2066.2999999999984</v>
      </c>
      <c r="CC59" s="17">
        <f t="shared" si="66"/>
        <v>1635.2999999999984</v>
      </c>
      <c r="CD59" s="17">
        <f t="shared" si="67"/>
        <v>1505.6999999999998</v>
      </c>
      <c r="CE59" s="17">
        <f t="shared" si="68"/>
        <v>2719.0999999999976</v>
      </c>
      <c r="CF59" s="17">
        <f t="shared" si="69"/>
        <v>2539.999999999999</v>
      </c>
      <c r="CG59" s="17">
        <f t="shared" si="70"/>
        <v>2623.300000000002</v>
      </c>
      <c r="CH59" s="17">
        <f t="shared" si="71"/>
        <v>2114.899999999997</v>
      </c>
      <c r="CI59" s="17">
        <f t="shared" si="72"/>
        <v>1269.6999999999998</v>
      </c>
      <c r="CJ59" s="87">
        <f t="shared" si="73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38886.664000000004</v>
      </c>
      <c r="DG59" s="123">
        <v>2368.3</v>
      </c>
      <c r="DH59" s="123">
        <v>4446.4</v>
      </c>
      <c r="DI59" s="123">
        <v>7029.9</v>
      </c>
      <c r="DJ59" s="123">
        <v>9531.6</v>
      </c>
      <c r="DK59" s="123">
        <v>11746</v>
      </c>
      <c r="DL59" s="123">
        <v>15179.5</v>
      </c>
      <c r="DM59" s="123">
        <v>18084.3</v>
      </c>
      <c r="DN59" s="123">
        <v>20325.8</v>
      </c>
      <c r="DO59" s="123">
        <v>23282.4</v>
      </c>
      <c r="DP59" s="123">
        <v>25547.4</v>
      </c>
      <c r="DQ59" s="123">
        <v>27172.4</v>
      </c>
      <c r="DR59" s="123">
        <v>1539</v>
      </c>
      <c r="DS59" s="123">
        <f aca="true" t="shared" si="82" ref="DS59:DS66">DQ59+DR59</f>
        <v>28711.4</v>
      </c>
      <c r="DT59" s="123">
        <v>1541</v>
      </c>
      <c r="DU59" s="123">
        <v>2345</v>
      </c>
      <c r="DV59" s="123">
        <v>3753</v>
      </c>
      <c r="DW59" s="123">
        <v>3717</v>
      </c>
      <c r="DX59" s="123">
        <f>'[1]Feuil2'!$D$25</f>
        <v>2597.023</v>
      </c>
      <c r="DY59" s="123">
        <f>'[2]Feuil3'!$E$26</f>
        <v>2259.7</v>
      </c>
      <c r="DZ59" s="123">
        <v>1875</v>
      </c>
      <c r="EA59" s="123">
        <v>2460</v>
      </c>
      <c r="EB59" s="123">
        <v>2823.647</v>
      </c>
      <c r="EC59" s="123">
        <v>2505.34</v>
      </c>
      <c r="ED59" s="123">
        <v>3221</v>
      </c>
      <c r="EE59" s="123">
        <v>3060</v>
      </c>
      <c r="EF59" s="150">
        <f t="shared" si="74"/>
        <v>32157.710000000003</v>
      </c>
      <c r="EG59" s="123">
        <v>1981</v>
      </c>
      <c r="EH59" s="123">
        <v>2684</v>
      </c>
      <c r="EI59" s="123">
        <v>3875</v>
      </c>
      <c r="EJ59" s="123">
        <f>'[3]avril pays'!$C$28</f>
        <v>3607.604</v>
      </c>
      <c r="EK59" s="123">
        <v>2390.1</v>
      </c>
      <c r="EL59" s="123">
        <v>3561.3</v>
      </c>
      <c r="EM59" s="123">
        <v>2972.7</v>
      </c>
      <c r="EN59" s="123">
        <v>5755.23</v>
      </c>
      <c r="EO59" s="123">
        <v>4661.564</v>
      </c>
      <c r="EP59" s="123">
        <v>3713.346</v>
      </c>
      <c r="EQ59" s="123">
        <v>10839.8</v>
      </c>
      <c r="ER59" s="123">
        <v>5568.7</v>
      </c>
      <c r="ES59" s="123">
        <f t="shared" si="75"/>
        <v>51610.344</v>
      </c>
      <c r="ET59" s="123">
        <v>5051.929</v>
      </c>
      <c r="EU59" s="123">
        <v>5824.125</v>
      </c>
      <c r="EV59" s="123">
        <f>'[4]IV5-IV6'!$D$32</f>
        <v>3874.669</v>
      </c>
      <c r="EW59" s="123">
        <v>7487.35</v>
      </c>
      <c r="EX59" s="123">
        <v>6273.5</v>
      </c>
      <c r="EY59" s="123">
        <v>6545</v>
      </c>
      <c r="EZ59" s="123">
        <v>7888.121</v>
      </c>
      <c r="FA59" s="123">
        <v>7630.521</v>
      </c>
      <c r="FB59" s="123">
        <v>3719.6</v>
      </c>
      <c r="FC59" s="123">
        <v>4141.436</v>
      </c>
      <c r="FD59" s="123">
        <v>3042.527</v>
      </c>
      <c r="FE59" s="123">
        <v>3925.627</v>
      </c>
      <c r="FF59" s="123">
        <f t="shared" si="76"/>
        <v>65404.405000000006</v>
      </c>
      <c r="FG59" s="123">
        <v>5402.952</v>
      </c>
      <c r="FH59" s="123">
        <v>3109.462</v>
      </c>
      <c r="FI59" s="123">
        <v>2621.905</v>
      </c>
      <c r="FJ59" s="123">
        <f>'[5]IV5-IV6'!$C$11</f>
        <v>2806.202</v>
      </c>
      <c r="FK59" s="123">
        <v>3856.938</v>
      </c>
      <c r="FL59" s="123">
        <v>5184.5</v>
      </c>
      <c r="FM59" s="123">
        <v>6936.446</v>
      </c>
      <c r="FN59" s="123">
        <v>8650.977</v>
      </c>
      <c r="FO59" s="123">
        <v>4361.099</v>
      </c>
      <c r="FP59" s="123">
        <v>5574.7</v>
      </c>
      <c r="FQ59" s="123">
        <v>3418.564</v>
      </c>
      <c r="FR59" s="123">
        <v>5348.1</v>
      </c>
      <c r="FS59" s="123">
        <f t="shared" si="77"/>
        <v>57271.845</v>
      </c>
      <c r="FT59" s="123">
        <v>3109.462</v>
      </c>
      <c r="FU59" s="123">
        <v>2553.044</v>
      </c>
      <c r="FV59" s="123">
        <v>4074.503</v>
      </c>
      <c r="FW59" s="123">
        <v>3530.719</v>
      </c>
      <c r="FX59" s="123">
        <v>3038.105</v>
      </c>
      <c r="FY59" s="123">
        <v>2851.905</v>
      </c>
      <c r="FZ59" s="123">
        <v>3652.944</v>
      </c>
      <c r="GA59" s="123">
        <v>3334.244</v>
      </c>
      <c r="GB59" s="123">
        <v>7971.371</v>
      </c>
      <c r="GC59" s="123">
        <v>4367.722</v>
      </c>
      <c r="GD59" s="123">
        <v>3904.307</v>
      </c>
      <c r="GE59" s="123">
        <v>3101.158</v>
      </c>
      <c r="GF59" s="123">
        <v>5872.583</v>
      </c>
      <c r="GG59" s="123">
        <f t="shared" si="78"/>
        <v>48252.605</v>
      </c>
      <c r="GH59" s="123">
        <v>2653.567</v>
      </c>
      <c r="GI59" s="123">
        <v>2506.975</v>
      </c>
      <c r="GJ59" s="123">
        <v>3182.117</v>
      </c>
      <c r="GK59" s="123">
        <v>3848.168</v>
      </c>
      <c r="GL59" s="123">
        <v>2591.641</v>
      </c>
      <c r="GM59" s="123">
        <v>2684.941</v>
      </c>
      <c r="GN59" s="123">
        <v>5090.094</v>
      </c>
      <c r="GO59" s="123">
        <v>7690.833</v>
      </c>
      <c r="GP59" s="123">
        <v>10241.873</v>
      </c>
      <c r="GQ59" s="123">
        <v>4549.033</v>
      </c>
      <c r="GR59" s="123">
        <v>4511.581</v>
      </c>
      <c r="GS59" s="123">
        <v>7493.325</v>
      </c>
      <c r="GT59" s="123">
        <v>4002.216</v>
      </c>
      <c r="GU59" s="123">
        <v>4739.892</v>
      </c>
      <c r="GV59" s="123">
        <v>5729.015</v>
      </c>
      <c r="GW59" s="123">
        <v>4062.923</v>
      </c>
      <c r="GX59" s="123">
        <v>3410.875</v>
      </c>
      <c r="GY59" s="123">
        <v>4158.231</v>
      </c>
      <c r="GZ59" s="123">
        <v>4266.598</v>
      </c>
      <c r="HA59" s="123">
        <v>5305.893</v>
      </c>
      <c r="HB59" s="123">
        <v>3297.213</v>
      </c>
      <c r="HC59" s="123">
        <v>2854.783</v>
      </c>
      <c r="HD59" s="123">
        <v>3597.387</v>
      </c>
      <c r="HE59" s="123">
        <v>2934.848</v>
      </c>
      <c r="HF59" s="123">
        <v>2911.703</v>
      </c>
      <c r="HG59" s="123">
        <v>3618.666</v>
      </c>
      <c r="HH59" s="123">
        <v>2419.973</v>
      </c>
      <c r="HI59" s="123">
        <v>2588.582</v>
      </c>
      <c r="HJ59" s="123">
        <v>2553.923</v>
      </c>
      <c r="HK59" s="123">
        <v>2243.574</v>
      </c>
      <c r="HL59" s="123">
        <v>3549.047</v>
      </c>
      <c r="HM59" s="123">
        <v>5726.492</v>
      </c>
      <c r="HN59" s="123">
        <v>3816.857</v>
      </c>
      <c r="HO59" s="123">
        <v>4435.03</v>
      </c>
      <c r="HP59" s="123">
        <v>2757.978</v>
      </c>
      <c r="HQ59" s="123">
        <v>2264.839</v>
      </c>
      <c r="HR59" s="123">
        <v>1755.422</v>
      </c>
      <c r="HS59" s="123">
        <v>3151.121</v>
      </c>
      <c r="HT59" s="123">
        <v>2221.181</v>
      </c>
      <c r="HU59" s="123">
        <v>2354.74</v>
      </c>
      <c r="HV59" s="123"/>
      <c r="HW59" s="123"/>
      <c r="HX59" s="123"/>
      <c r="HY59" s="123"/>
      <c r="HZ59" s="123"/>
      <c r="IA59" s="123"/>
      <c r="IB59" s="123"/>
      <c r="IC59" s="123"/>
      <c r="ID59" s="150">
        <f t="shared" si="79"/>
        <v>11538.924</v>
      </c>
      <c r="IE59" s="150">
        <f t="shared" si="80"/>
        <v>9482.464</v>
      </c>
    </row>
    <row r="60" spans="1:239" ht="15.75">
      <c r="A60" s="131" t="s">
        <v>80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7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8"/>
        <v>1002</v>
      </c>
      <c r="AD60" s="49">
        <f t="shared" si="59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60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61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2"/>
        <v>26504.3</v>
      </c>
      <c r="BX60" s="42">
        <v>1628</v>
      </c>
      <c r="BY60" s="17">
        <f t="shared" si="81"/>
        <v>1270.1</v>
      </c>
      <c r="BZ60" s="17">
        <f t="shared" si="63"/>
        <v>2494.7000000000007</v>
      </c>
      <c r="CA60" s="17">
        <f t="shared" si="64"/>
        <v>1736.3999999999992</v>
      </c>
      <c r="CB60" s="17">
        <f t="shared" si="65"/>
        <v>2593.7999999999993</v>
      </c>
      <c r="CC60" s="17">
        <f t="shared" si="66"/>
        <v>2980.3999999999996</v>
      </c>
      <c r="CD60" s="17">
        <f t="shared" si="67"/>
        <v>3383.300000000001</v>
      </c>
      <c r="CE60" s="17">
        <f t="shared" si="68"/>
        <v>4028.199999999999</v>
      </c>
      <c r="CF60" s="17">
        <f t="shared" si="69"/>
        <v>2662.600000000002</v>
      </c>
      <c r="CG60" s="17">
        <f t="shared" si="70"/>
        <v>4548.4999999999945</v>
      </c>
      <c r="CH60" s="17">
        <f t="shared" si="71"/>
        <v>3884.500000000002</v>
      </c>
      <c r="CI60" s="17">
        <f t="shared" si="72"/>
        <v>4846.500000000002</v>
      </c>
      <c r="CJ60" s="87">
        <f t="shared" si="73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42883.336</v>
      </c>
      <c r="DG60" s="123">
        <v>7335.7</v>
      </c>
      <c r="DH60" s="123">
        <v>15674.8</v>
      </c>
      <c r="DI60" s="123">
        <v>23282.3</v>
      </c>
      <c r="DJ60" s="123">
        <v>30973.8</v>
      </c>
      <c r="DK60" s="123">
        <v>36369</v>
      </c>
      <c r="DL60" s="123">
        <v>44520.1</v>
      </c>
      <c r="DM60" s="123">
        <v>49966.9</v>
      </c>
      <c r="DN60" s="123">
        <v>58183.6</v>
      </c>
      <c r="DO60" s="123">
        <v>63815.9</v>
      </c>
      <c r="DP60" s="123">
        <v>70471.4</v>
      </c>
      <c r="DQ60" s="123">
        <v>77441.4</v>
      </c>
      <c r="DR60" s="123">
        <v>7576</v>
      </c>
      <c r="DS60" s="123">
        <f t="shared" si="82"/>
        <v>85017.4</v>
      </c>
      <c r="DT60" s="123">
        <v>4434</v>
      </c>
      <c r="DU60" s="123">
        <v>6246</v>
      </c>
      <c r="DV60" s="123">
        <v>5918</v>
      </c>
      <c r="DW60" s="123">
        <v>4767</v>
      </c>
      <c r="DX60" s="123">
        <f>'[1]Feuil2'!$D$30</f>
        <v>4030.963</v>
      </c>
      <c r="DY60" s="123">
        <f>'[2]Feuil3'!$E$33</f>
        <v>4177.748</v>
      </c>
      <c r="DZ60" s="123">
        <v>2883</v>
      </c>
      <c r="EA60" s="123">
        <v>5542</v>
      </c>
      <c r="EB60" s="123">
        <v>5804.401</v>
      </c>
      <c r="EC60" s="123">
        <v>4617.186</v>
      </c>
      <c r="ED60" s="123">
        <v>6079</v>
      </c>
      <c r="EE60" s="123">
        <v>5597</v>
      </c>
      <c r="EF60" s="150">
        <f t="shared" si="74"/>
        <v>60096.297999999995</v>
      </c>
      <c r="EG60" s="123">
        <v>4507</v>
      </c>
      <c r="EH60" s="123">
        <v>3965</v>
      </c>
      <c r="EI60" s="123">
        <v>5068</v>
      </c>
      <c r="EJ60" s="123">
        <f>'[3]avril pays'!$C$36</f>
        <v>6024.668</v>
      </c>
      <c r="EK60" s="123">
        <v>5115.6</v>
      </c>
      <c r="EL60" s="123">
        <v>4659.1</v>
      </c>
      <c r="EM60" s="123">
        <v>4158.5</v>
      </c>
      <c r="EN60" s="123">
        <v>6320.56</v>
      </c>
      <c r="EO60" s="123">
        <v>6994.103</v>
      </c>
      <c r="EP60" s="123">
        <v>7938.062</v>
      </c>
      <c r="EQ60" s="123">
        <v>5732.8</v>
      </c>
      <c r="ER60" s="123">
        <v>6457.7</v>
      </c>
      <c r="ES60" s="123">
        <f t="shared" si="75"/>
        <v>66941.093</v>
      </c>
      <c r="ET60" s="123">
        <v>2404.598</v>
      </c>
      <c r="EU60" s="123">
        <v>6816.016</v>
      </c>
      <c r="EV60" s="123">
        <f>'[4]IV5-IV6'!$D$40</f>
        <v>5067.703</v>
      </c>
      <c r="EW60" s="123">
        <v>4673.16</v>
      </c>
      <c r="EX60" s="123">
        <v>3800.1</v>
      </c>
      <c r="EY60" s="123">
        <v>3762.7</v>
      </c>
      <c r="EZ60" s="123">
        <v>4013.168</v>
      </c>
      <c r="FA60" s="123">
        <v>7126.848</v>
      </c>
      <c r="FB60" s="123">
        <v>7423.2</v>
      </c>
      <c r="FC60" s="123">
        <v>7726.581</v>
      </c>
      <c r="FD60" s="123">
        <v>9705.006</v>
      </c>
      <c r="FE60" s="123">
        <v>8124.207</v>
      </c>
      <c r="FF60" s="123">
        <f t="shared" si="76"/>
        <v>70643.287</v>
      </c>
      <c r="FG60" s="123">
        <v>6953.452</v>
      </c>
      <c r="FH60" s="123">
        <v>6347.976</v>
      </c>
      <c r="FI60" s="123">
        <v>5561.849</v>
      </c>
      <c r="FJ60" s="123">
        <f>'[5]IV5-IV6'!$C$16</f>
        <v>14356.528</v>
      </c>
      <c r="FK60" s="123">
        <v>8004.736</v>
      </c>
      <c r="FL60" s="123">
        <v>6260.7</v>
      </c>
      <c r="FM60" s="123">
        <v>7065.775</v>
      </c>
      <c r="FN60" s="123">
        <v>10612.596</v>
      </c>
      <c r="FO60" s="123">
        <v>10233.371</v>
      </c>
      <c r="FP60" s="123">
        <v>8285.6</v>
      </c>
      <c r="FQ60" s="123">
        <v>4116.591</v>
      </c>
      <c r="FR60" s="123">
        <v>7437.5</v>
      </c>
      <c r="FS60" s="123">
        <f t="shared" si="77"/>
        <v>95236.674</v>
      </c>
      <c r="FT60" s="123">
        <v>6347.976</v>
      </c>
      <c r="FU60" s="123">
        <v>4111.823</v>
      </c>
      <c r="FV60" s="123">
        <v>3213.553</v>
      </c>
      <c r="FW60" s="123">
        <v>4449.403</v>
      </c>
      <c r="FX60" s="123">
        <v>4027.145</v>
      </c>
      <c r="FY60" s="123">
        <v>3659.999</v>
      </c>
      <c r="FZ60" s="123">
        <v>4066.9846180373147</v>
      </c>
      <c r="GA60" s="123">
        <v>3348.762</v>
      </c>
      <c r="GB60" s="123">
        <v>3986.405</v>
      </c>
      <c r="GC60" s="123">
        <v>4744.069</v>
      </c>
      <c r="GD60" s="123">
        <v>3929.006</v>
      </c>
      <c r="GE60" s="123">
        <v>3189.501</v>
      </c>
      <c r="GF60" s="123">
        <v>4020.684</v>
      </c>
      <c r="GG60" s="123">
        <f t="shared" si="78"/>
        <v>46747.33461803731</v>
      </c>
      <c r="GH60" s="123">
        <v>3223.456</v>
      </c>
      <c r="GI60" s="123">
        <v>2626.99</v>
      </c>
      <c r="GJ60" s="123">
        <v>3023.711</v>
      </c>
      <c r="GK60" s="123">
        <v>4900.284</v>
      </c>
      <c r="GL60" s="123">
        <v>1417.082</v>
      </c>
      <c r="GM60" s="123">
        <v>1644.942</v>
      </c>
      <c r="GN60" s="123">
        <v>2486.532</v>
      </c>
      <c r="GO60" s="123">
        <v>5108.598</v>
      </c>
      <c r="GP60" s="123">
        <v>5074.993</v>
      </c>
      <c r="GQ60" s="123">
        <v>4191.408</v>
      </c>
      <c r="GR60" s="123">
        <v>4189.698</v>
      </c>
      <c r="GS60" s="123">
        <v>3700.813</v>
      </c>
      <c r="GT60" s="123">
        <v>4405.798</v>
      </c>
      <c r="GU60" s="123">
        <v>9278.47</v>
      </c>
      <c r="GV60" s="123">
        <v>4078.624</v>
      </c>
      <c r="GW60" s="123">
        <v>2807.303</v>
      </c>
      <c r="GX60" s="123">
        <v>3244.506</v>
      </c>
      <c r="GY60" s="123">
        <v>2396.012</v>
      </c>
      <c r="GZ60" s="123">
        <v>2487.223</v>
      </c>
      <c r="HA60" s="123">
        <v>4423.691</v>
      </c>
      <c r="HB60" s="123">
        <v>6165.768</v>
      </c>
      <c r="HC60" s="123">
        <v>5068.372</v>
      </c>
      <c r="HD60" s="123">
        <v>3791.782</v>
      </c>
      <c r="HE60" s="123">
        <v>3396.873</v>
      </c>
      <c r="HF60" s="123">
        <v>3646.542</v>
      </c>
      <c r="HG60" s="123">
        <v>3798.884</v>
      </c>
      <c r="HH60" s="123">
        <v>6091.814</v>
      </c>
      <c r="HI60" s="123">
        <v>2893.726</v>
      </c>
      <c r="HJ60" s="123">
        <v>2504.989</v>
      </c>
      <c r="HK60" s="123">
        <v>3641.061</v>
      </c>
      <c r="HL60" s="123">
        <v>4239.821</v>
      </c>
      <c r="HM60" s="123">
        <v>4212.61</v>
      </c>
      <c r="HN60" s="123">
        <v>3135.616</v>
      </c>
      <c r="HO60" s="123">
        <v>2959.366</v>
      </c>
      <c r="HP60" s="123">
        <v>3439.574</v>
      </c>
      <c r="HQ60" s="123">
        <v>2319.333</v>
      </c>
      <c r="HR60" s="123">
        <v>2377.518</v>
      </c>
      <c r="HS60" s="123">
        <v>2180.682</v>
      </c>
      <c r="HT60" s="123">
        <v>2521.465</v>
      </c>
      <c r="HU60" s="123">
        <v>2661.826</v>
      </c>
      <c r="HV60" s="123"/>
      <c r="HW60" s="123"/>
      <c r="HX60" s="123"/>
      <c r="HY60" s="123"/>
      <c r="HZ60" s="123"/>
      <c r="IA60" s="123"/>
      <c r="IB60" s="123"/>
      <c r="IC60" s="123"/>
      <c r="ID60" s="150">
        <f t="shared" si="79"/>
        <v>16430.966</v>
      </c>
      <c r="IE60" s="150">
        <f t="shared" si="80"/>
        <v>9741.491</v>
      </c>
    </row>
    <row r="61" spans="1:239" ht="15.75">
      <c r="A61" s="131" t="s">
        <v>115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7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8"/>
        <v>1626</v>
      </c>
      <c r="AD61" s="49">
        <f t="shared" si="59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75</v>
      </c>
      <c r="AO61" s="91">
        <v>47</v>
      </c>
      <c r="AP61" s="91">
        <v>500</v>
      </c>
      <c r="AQ61" s="49">
        <f t="shared" si="60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61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2"/>
        <v>6705.1</v>
      </c>
      <c r="BX61" s="42">
        <v>187</v>
      </c>
      <c r="BY61" s="17">
        <f t="shared" si="81"/>
        <v>273.2</v>
      </c>
      <c r="BZ61" s="17">
        <f t="shared" si="63"/>
        <v>603</v>
      </c>
      <c r="CA61" s="17">
        <f t="shared" si="64"/>
        <v>622.3</v>
      </c>
      <c r="CB61" s="17">
        <f t="shared" si="65"/>
        <v>480.5</v>
      </c>
      <c r="CC61" s="17">
        <f t="shared" si="66"/>
        <v>476.5999999999999</v>
      </c>
      <c r="CD61" s="17">
        <f t="shared" si="67"/>
        <v>56.00000000000006</v>
      </c>
      <c r="CE61" s="17">
        <f t="shared" si="68"/>
        <v>400</v>
      </c>
      <c r="CF61" s="17">
        <f t="shared" si="69"/>
        <v>0</v>
      </c>
      <c r="CG61" s="17">
        <f t="shared" si="70"/>
        <v>0</v>
      </c>
      <c r="CH61" s="17">
        <f t="shared" si="71"/>
        <v>512.2000000000003</v>
      </c>
      <c r="CI61" s="17">
        <f t="shared" si="72"/>
        <v>80.19999999999987</v>
      </c>
      <c r="CJ61" s="87">
        <f t="shared" si="73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921.038</v>
      </c>
      <c r="DG61" s="123">
        <v>16.6</v>
      </c>
      <c r="DH61" s="123">
        <v>17</v>
      </c>
      <c r="DI61" s="123">
        <v>61.5</v>
      </c>
      <c r="DJ61" s="123">
        <v>61.8</v>
      </c>
      <c r="DK61" s="123">
        <v>71</v>
      </c>
      <c r="DL61" s="123">
        <v>89.8</v>
      </c>
      <c r="DM61" s="123">
        <v>110.4</v>
      </c>
      <c r="DN61" s="123">
        <v>152.3</v>
      </c>
      <c r="DO61" s="123">
        <v>181.9</v>
      </c>
      <c r="DP61" s="123">
        <v>234.9</v>
      </c>
      <c r="DQ61" s="123">
        <v>247.9</v>
      </c>
      <c r="DR61" s="123"/>
      <c r="DS61" s="123">
        <f t="shared" si="82"/>
        <v>247.9</v>
      </c>
      <c r="DT61" s="123">
        <v>1</v>
      </c>
      <c r="DU61" s="123">
        <v>2</v>
      </c>
      <c r="DV61" s="123">
        <v>0</v>
      </c>
      <c r="DW61" s="123">
        <v>12</v>
      </c>
      <c r="DX61" s="123">
        <f>'[1]Feuil2'!$D$12</f>
        <v>42.592</v>
      </c>
      <c r="DY61" s="123">
        <f>'[2]Feuil3'!$E$10</f>
        <v>9.65</v>
      </c>
      <c r="DZ61" s="123">
        <v>2</v>
      </c>
      <c r="EA61" s="123">
        <v>98</v>
      </c>
      <c r="EB61" s="123">
        <v>16.85</v>
      </c>
      <c r="EC61" s="123">
        <v>70.9</v>
      </c>
      <c r="ED61" s="123">
        <v>37</v>
      </c>
      <c r="EE61" s="123">
        <v>57</v>
      </c>
      <c r="EF61" s="150">
        <f t="shared" si="74"/>
        <v>348.992</v>
      </c>
      <c r="EG61" s="123">
        <v>172</v>
      </c>
      <c r="EH61" s="123">
        <v>324</v>
      </c>
      <c r="EI61" s="123">
        <v>391</v>
      </c>
      <c r="EJ61" s="123">
        <f>'[3]avril pays'!$C$12</f>
        <v>473.183</v>
      </c>
      <c r="EK61" s="123">
        <v>388.3</v>
      </c>
      <c r="EL61" s="123">
        <v>516.8</v>
      </c>
      <c r="EM61" s="123">
        <v>897.4</v>
      </c>
      <c r="EN61" s="123">
        <v>1142.05</v>
      </c>
      <c r="EO61" s="123">
        <v>577.939</v>
      </c>
      <c r="EP61" s="123">
        <v>231.507</v>
      </c>
      <c r="EQ61" s="123">
        <v>31.6</v>
      </c>
      <c r="ER61" s="123">
        <v>38.5</v>
      </c>
      <c r="ES61" s="123">
        <f t="shared" si="75"/>
        <v>5184.279</v>
      </c>
      <c r="ET61" s="123">
        <v>162</v>
      </c>
      <c r="EU61" s="123">
        <v>12.628</v>
      </c>
      <c r="EV61" s="123">
        <f>'[4]IV5-IV6'!$D$43</f>
        <v>391.38</v>
      </c>
      <c r="EW61" s="123">
        <v>407.45</v>
      </c>
      <c r="EX61" s="123">
        <v>468.7</v>
      </c>
      <c r="EY61" s="123">
        <v>1313.4</v>
      </c>
      <c r="EZ61" s="123">
        <v>866.136</v>
      </c>
      <c r="FA61" s="123">
        <v>676.175</v>
      </c>
      <c r="FB61" s="123">
        <v>233.6</v>
      </c>
      <c r="FC61" s="123">
        <v>171.616</v>
      </c>
      <c r="FD61" s="123">
        <v>119.291</v>
      </c>
      <c r="FE61" s="123">
        <v>109.216</v>
      </c>
      <c r="FF61" s="123">
        <f t="shared" si="76"/>
        <v>4931.592000000001</v>
      </c>
      <c r="FG61" s="123">
        <v>234.21</v>
      </c>
      <c r="FH61" s="123">
        <v>304.313</v>
      </c>
      <c r="FI61" s="123">
        <v>414.402</v>
      </c>
      <c r="FJ61" s="123">
        <f>'[5]IV5-IV6'!$C$6</f>
        <v>217.605</v>
      </c>
      <c r="FK61" s="123">
        <v>566.403</v>
      </c>
      <c r="FL61" s="123">
        <v>351.1</v>
      </c>
      <c r="FM61" s="123">
        <v>604.211</v>
      </c>
      <c r="FN61" s="123">
        <v>581.8</v>
      </c>
      <c r="FO61" s="123">
        <v>201.566</v>
      </c>
      <c r="FP61" s="123">
        <v>161</v>
      </c>
      <c r="FQ61" s="123">
        <v>237</v>
      </c>
      <c r="FR61" s="123">
        <v>215</v>
      </c>
      <c r="FS61" s="123">
        <f t="shared" si="77"/>
        <v>4088.6099999999997</v>
      </c>
      <c r="FT61" s="123">
        <v>304.313</v>
      </c>
      <c r="FU61" s="123">
        <v>411.411</v>
      </c>
      <c r="FV61" s="123">
        <v>360.444</v>
      </c>
      <c r="FW61" s="123">
        <v>665.571</v>
      </c>
      <c r="FX61" s="123">
        <v>500.994</v>
      </c>
      <c r="FY61" s="123">
        <v>401.785</v>
      </c>
      <c r="FZ61" s="123">
        <v>582.747</v>
      </c>
      <c r="GA61" s="123">
        <v>2428.104</v>
      </c>
      <c r="GB61" s="123">
        <v>1158.778</v>
      </c>
      <c r="GC61" s="123">
        <v>3095.94</v>
      </c>
      <c r="GD61" s="123">
        <v>451.977</v>
      </c>
      <c r="GE61" s="123">
        <v>969.885</v>
      </c>
      <c r="GF61" s="123">
        <v>252.24</v>
      </c>
      <c r="GG61" s="123">
        <f t="shared" si="78"/>
        <v>11279.876</v>
      </c>
      <c r="GH61" s="123">
        <v>1011.727</v>
      </c>
      <c r="GI61" s="123">
        <v>937.455</v>
      </c>
      <c r="GJ61" s="123">
        <v>396.931</v>
      </c>
      <c r="GK61" s="123">
        <v>1870.882</v>
      </c>
      <c r="GL61" s="123">
        <v>166.006</v>
      </c>
      <c r="GM61" s="123">
        <v>1865.681</v>
      </c>
      <c r="GN61" s="123">
        <v>528.301</v>
      </c>
      <c r="GO61" s="123">
        <v>522.074</v>
      </c>
      <c r="GP61" s="123">
        <v>575.53</v>
      </c>
      <c r="GQ61" s="123">
        <v>320.541</v>
      </c>
      <c r="GR61" s="123">
        <v>562.526</v>
      </c>
      <c r="GS61" s="123">
        <v>134.072</v>
      </c>
      <c r="GT61" s="123">
        <v>294.078</v>
      </c>
      <c r="GU61" s="123">
        <v>359.544</v>
      </c>
      <c r="GV61" s="123">
        <v>384.88</v>
      </c>
      <c r="GW61" s="123">
        <v>317.917</v>
      </c>
      <c r="GX61" s="123">
        <v>468.732</v>
      </c>
      <c r="GY61" s="123">
        <v>593.037</v>
      </c>
      <c r="GZ61" s="123">
        <v>1003.234</v>
      </c>
      <c r="HA61" s="123">
        <v>1002.808</v>
      </c>
      <c r="HB61" s="123">
        <v>432.61</v>
      </c>
      <c r="HC61" s="123">
        <v>175.516</v>
      </c>
      <c r="HD61" s="123">
        <v>182.559</v>
      </c>
      <c r="HE61" s="123">
        <v>93.927</v>
      </c>
      <c r="HF61" s="123">
        <v>85.955</v>
      </c>
      <c r="HG61" s="123">
        <v>47.565</v>
      </c>
      <c r="HH61" s="123">
        <v>55.854</v>
      </c>
      <c r="HI61" s="123">
        <v>94.405</v>
      </c>
      <c r="HJ61" s="123">
        <v>55.471</v>
      </c>
      <c r="HK61" s="123">
        <v>76.363</v>
      </c>
      <c r="HL61" s="123">
        <v>159.318</v>
      </c>
      <c r="HM61" s="123">
        <v>143.094</v>
      </c>
      <c r="HN61" s="123">
        <v>46.889</v>
      </c>
      <c r="HO61" s="123">
        <v>53.382</v>
      </c>
      <c r="HP61" s="123">
        <v>46.972</v>
      </c>
      <c r="HQ61" s="123">
        <v>55.77</v>
      </c>
      <c r="HR61" s="123">
        <v>44.18</v>
      </c>
      <c r="HS61" s="123">
        <v>13.223</v>
      </c>
      <c r="HT61" s="123">
        <v>207.036</v>
      </c>
      <c r="HU61" s="123">
        <v>169.859</v>
      </c>
      <c r="HV61" s="123"/>
      <c r="HW61" s="123"/>
      <c r="HX61" s="123"/>
      <c r="HY61" s="123"/>
      <c r="HZ61" s="123"/>
      <c r="IA61" s="123"/>
      <c r="IB61" s="123"/>
      <c r="IC61" s="123"/>
      <c r="ID61" s="150">
        <f t="shared" si="79"/>
        <v>283.779</v>
      </c>
      <c r="IE61" s="150">
        <f t="shared" si="80"/>
        <v>434.298</v>
      </c>
    </row>
    <row r="62" spans="1:239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7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8"/>
        <v>1095</v>
      </c>
      <c r="AD62" s="49">
        <f t="shared" si="59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60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61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2"/>
        <v>1996.4</v>
      </c>
      <c r="BX62" s="42">
        <v>299</v>
      </c>
      <c r="BY62" s="17">
        <f t="shared" si="81"/>
        <v>272.5</v>
      </c>
      <c r="BZ62" s="17">
        <f t="shared" si="63"/>
        <v>191.29999999999995</v>
      </c>
      <c r="CA62" s="17">
        <f t="shared" si="64"/>
        <v>336.29999999999995</v>
      </c>
      <c r="CB62" s="17">
        <f t="shared" si="65"/>
        <v>213.9000000000001</v>
      </c>
      <c r="CC62" s="17">
        <f t="shared" si="66"/>
        <v>143.70000000000005</v>
      </c>
      <c r="CD62" s="17">
        <f t="shared" si="67"/>
        <v>240.39999999999986</v>
      </c>
      <c r="CE62" s="17">
        <f t="shared" si="68"/>
        <v>50.100000000000136</v>
      </c>
      <c r="CF62" s="17">
        <f t="shared" si="69"/>
        <v>228.0999999999999</v>
      </c>
      <c r="CG62" s="17">
        <f t="shared" si="70"/>
        <v>13.5</v>
      </c>
      <c r="CH62" s="17">
        <f t="shared" si="71"/>
        <v>58.799999999999955</v>
      </c>
      <c r="CI62" s="17">
        <f t="shared" si="72"/>
        <v>469.4000000000001</v>
      </c>
      <c r="CJ62" s="87">
        <f t="shared" si="73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15553.215000000002</v>
      </c>
      <c r="DG62" s="123">
        <v>220.1</v>
      </c>
      <c r="DH62" s="123">
        <v>400.7</v>
      </c>
      <c r="DI62" s="123">
        <v>865.6</v>
      </c>
      <c r="DJ62" s="123">
        <v>1280.4</v>
      </c>
      <c r="DK62" s="123">
        <v>1692</v>
      </c>
      <c r="DL62" s="123">
        <v>1908.5</v>
      </c>
      <c r="DM62" s="123">
        <v>2096.2</v>
      </c>
      <c r="DN62" s="123">
        <v>2213.8</v>
      </c>
      <c r="DO62" s="123">
        <v>2461</v>
      </c>
      <c r="DP62" s="123">
        <v>2560.7</v>
      </c>
      <c r="DQ62" s="123">
        <v>2689.7</v>
      </c>
      <c r="DR62" s="123">
        <v>540</v>
      </c>
      <c r="DS62" s="123">
        <f t="shared" si="82"/>
        <v>3229.7</v>
      </c>
      <c r="DT62" s="123">
        <v>213</v>
      </c>
      <c r="DU62" s="123">
        <v>85</v>
      </c>
      <c r="DV62" s="123">
        <v>166</v>
      </c>
      <c r="DW62" s="123">
        <v>251</v>
      </c>
      <c r="DX62" s="123">
        <f>'[1]Feuil2'!$D$33</f>
        <v>84.301</v>
      </c>
      <c r="DY62" s="123">
        <f>'[2]Feuil3'!$E$37</f>
        <v>145.825</v>
      </c>
      <c r="DZ62" s="123">
        <v>251</v>
      </c>
      <c r="EA62" s="123">
        <v>1165</v>
      </c>
      <c r="EB62" s="123">
        <v>923.891</v>
      </c>
      <c r="EC62" s="123">
        <v>1320.287</v>
      </c>
      <c r="ED62" s="123">
        <v>2320</v>
      </c>
      <c r="EE62" s="123">
        <v>2882</v>
      </c>
      <c r="EF62" s="150">
        <f t="shared" si="74"/>
        <v>9807.304</v>
      </c>
      <c r="EG62" s="123">
        <v>2894</v>
      </c>
      <c r="EH62" s="123">
        <v>2572</v>
      </c>
      <c r="EI62" s="123">
        <v>2160</v>
      </c>
      <c r="EJ62" s="123">
        <f>'[3]avril pays'!$C$41</f>
        <v>2390.986</v>
      </c>
      <c r="EK62" s="123">
        <v>1955.3</v>
      </c>
      <c r="EL62" s="123">
        <v>2148.9</v>
      </c>
      <c r="EM62" s="123">
        <v>1834.2</v>
      </c>
      <c r="EN62" s="123">
        <v>2770.25</v>
      </c>
      <c r="EO62" s="123">
        <v>2330.739</v>
      </c>
      <c r="EP62" s="123">
        <v>1335.165</v>
      </c>
      <c r="EQ62" s="123">
        <v>1350.8</v>
      </c>
      <c r="ER62" s="123">
        <v>2219.8</v>
      </c>
      <c r="ES62" s="123">
        <f t="shared" si="75"/>
        <v>25962.14</v>
      </c>
      <c r="ET62" s="123">
        <v>1843.782</v>
      </c>
      <c r="EU62" s="123">
        <v>1375.23</v>
      </c>
      <c r="EV62" s="123">
        <f>'[4]IV5-IV6'!$D$45</f>
        <v>2159.85</v>
      </c>
      <c r="EW62" s="123">
        <v>4593.74</v>
      </c>
      <c r="EX62" s="123">
        <v>1665.467</v>
      </c>
      <c r="EY62" s="123">
        <v>1959.6</v>
      </c>
      <c r="EZ62" s="123">
        <v>1479.652</v>
      </c>
      <c r="FA62" s="123">
        <v>1653.173</v>
      </c>
      <c r="FB62" s="123">
        <v>1475</v>
      </c>
      <c r="FC62" s="123">
        <v>1882.733</v>
      </c>
      <c r="FD62" s="123">
        <v>4003.894</v>
      </c>
      <c r="FE62" s="123">
        <v>21780.214</v>
      </c>
      <c r="FF62" s="123">
        <f t="shared" si="76"/>
        <v>45872.335</v>
      </c>
      <c r="FG62" s="123">
        <v>3668.418</v>
      </c>
      <c r="FH62" s="123">
        <v>14284.105</v>
      </c>
      <c r="FI62" s="123">
        <v>3920.587</v>
      </c>
      <c r="FJ62" s="123">
        <f>'[5]IV5-IV6'!$C$17</f>
        <v>4384.121</v>
      </c>
      <c r="FK62" s="123">
        <v>1758.037</v>
      </c>
      <c r="FL62" s="123">
        <v>4654.4</v>
      </c>
      <c r="FM62" s="123">
        <v>1956.539</v>
      </c>
      <c r="FN62" s="123">
        <v>1619.055</v>
      </c>
      <c r="FO62" s="123">
        <v>8199.472</v>
      </c>
      <c r="FP62" s="123">
        <v>1389.1</v>
      </c>
      <c r="FQ62" s="123">
        <v>4628.724</v>
      </c>
      <c r="FR62" s="123">
        <v>8074.3</v>
      </c>
      <c r="FS62" s="123">
        <f t="shared" si="77"/>
        <v>58536.858</v>
      </c>
      <c r="FT62" s="123">
        <v>14284.105</v>
      </c>
      <c r="FU62" s="123">
        <v>4302.283</v>
      </c>
      <c r="FV62" s="123">
        <v>1536.534</v>
      </c>
      <c r="FW62" s="123">
        <v>678.313</v>
      </c>
      <c r="FX62" s="123">
        <v>865.868</v>
      </c>
      <c r="FY62" s="123">
        <v>1481.753</v>
      </c>
      <c r="FZ62" s="123">
        <v>1855.246</v>
      </c>
      <c r="GA62" s="123">
        <v>2155.508</v>
      </c>
      <c r="GB62" s="123">
        <v>1920.069</v>
      </c>
      <c r="GC62" s="123">
        <v>2113.189</v>
      </c>
      <c r="GD62" s="123">
        <v>1849.705</v>
      </c>
      <c r="GE62" s="123">
        <v>2036.835</v>
      </c>
      <c r="GF62" s="123">
        <v>2041.811</v>
      </c>
      <c r="GG62" s="123">
        <f t="shared" si="78"/>
        <v>22837.114</v>
      </c>
      <c r="GH62" s="123">
        <v>1271.269</v>
      </c>
      <c r="GI62" s="123">
        <v>1267.093</v>
      </c>
      <c r="GJ62" s="123">
        <v>1907.684</v>
      </c>
      <c r="GK62" s="123">
        <v>1239.907</v>
      </c>
      <c r="GL62" s="123">
        <v>1662.713</v>
      </c>
      <c r="GM62" s="123">
        <v>829.862</v>
      </c>
      <c r="GN62" s="123">
        <v>1469.149</v>
      </c>
      <c r="GO62" s="123">
        <v>1615.22</v>
      </c>
      <c r="GP62" s="123">
        <v>1657.313</v>
      </c>
      <c r="GQ62" s="123">
        <v>1428.139</v>
      </c>
      <c r="GR62" s="123">
        <v>1979.979</v>
      </c>
      <c r="GS62" s="123">
        <v>5492.862</v>
      </c>
      <c r="GT62" s="123">
        <v>1145.305</v>
      </c>
      <c r="GU62" s="123">
        <v>1397.775</v>
      </c>
      <c r="GV62" s="123">
        <v>1463.88</v>
      </c>
      <c r="GW62" s="123">
        <v>2132.223</v>
      </c>
      <c r="GX62" s="123">
        <v>2240.548</v>
      </c>
      <c r="GY62" s="123">
        <v>2453.476</v>
      </c>
      <c r="GZ62" s="123">
        <v>2117.981</v>
      </c>
      <c r="HA62" s="123">
        <v>918.632</v>
      </c>
      <c r="HB62" s="123">
        <v>1936.461</v>
      </c>
      <c r="HC62" s="123">
        <v>1432.571</v>
      </c>
      <c r="HD62" s="123">
        <v>897.981</v>
      </c>
      <c r="HE62" s="123">
        <v>993.483</v>
      </c>
      <c r="HF62" s="123">
        <v>1378.444</v>
      </c>
      <c r="HG62" s="123">
        <v>2584.551</v>
      </c>
      <c r="HH62" s="123">
        <v>864.748</v>
      </c>
      <c r="HI62" s="123">
        <v>566.582</v>
      </c>
      <c r="HJ62" s="123">
        <v>809.794</v>
      </c>
      <c r="HK62" s="123">
        <v>1206.651</v>
      </c>
      <c r="HL62" s="123">
        <v>1803.617</v>
      </c>
      <c r="HM62" s="123">
        <v>1276.164</v>
      </c>
      <c r="HN62" s="123">
        <v>1174.247</v>
      </c>
      <c r="HO62" s="123">
        <v>1049.71</v>
      </c>
      <c r="HP62" s="123">
        <v>1931.19</v>
      </c>
      <c r="HQ62" s="123">
        <v>907.517</v>
      </c>
      <c r="HR62" s="123">
        <v>568.222</v>
      </c>
      <c r="HS62" s="123">
        <v>503.56</v>
      </c>
      <c r="HT62" s="123">
        <v>799.218</v>
      </c>
      <c r="HU62" s="123">
        <v>310.083</v>
      </c>
      <c r="HV62" s="123"/>
      <c r="HW62" s="123"/>
      <c r="HX62" s="123"/>
      <c r="HY62" s="123"/>
      <c r="HZ62" s="123"/>
      <c r="IA62" s="123"/>
      <c r="IB62" s="123"/>
      <c r="IC62" s="123"/>
      <c r="ID62" s="150">
        <f t="shared" si="79"/>
        <v>5394.325000000001</v>
      </c>
      <c r="IE62" s="150">
        <f t="shared" si="80"/>
        <v>2181.083</v>
      </c>
    </row>
    <row r="63" spans="1:239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7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8"/>
        <v>20148</v>
      </c>
      <c r="AD63" s="49">
        <f t="shared" si="59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60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61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2"/>
        <v>36587.1</v>
      </c>
      <c r="BX63" s="42">
        <v>2154</v>
      </c>
      <c r="BY63" s="17">
        <f t="shared" si="81"/>
        <v>1306.9</v>
      </c>
      <c r="BZ63" s="17">
        <f t="shared" si="63"/>
        <v>2380.6000000000004</v>
      </c>
      <c r="CA63" s="17">
        <f t="shared" si="64"/>
        <v>1363.3999999999992</v>
      </c>
      <c r="CB63" s="17">
        <f t="shared" si="65"/>
        <v>1599.1</v>
      </c>
      <c r="CC63" s="17">
        <f t="shared" si="66"/>
        <v>1835.6</v>
      </c>
      <c r="CD63" s="17">
        <f t="shared" si="67"/>
        <v>1483.1999999999985</v>
      </c>
      <c r="CE63" s="17">
        <f t="shared" si="68"/>
        <v>1937.9999999999995</v>
      </c>
      <c r="CF63" s="17">
        <f t="shared" si="69"/>
        <v>1230.6</v>
      </c>
      <c r="CG63" s="17">
        <f t="shared" si="70"/>
        <v>1415.8000000000006</v>
      </c>
      <c r="CH63" s="17">
        <f t="shared" si="71"/>
        <v>1814.0000000000014</v>
      </c>
      <c r="CI63" s="17">
        <f t="shared" si="72"/>
        <v>1740.8000000000006</v>
      </c>
      <c r="CJ63" s="87">
        <f t="shared" si="73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163183.24300000002</v>
      </c>
      <c r="DG63" s="123">
        <v>2669</v>
      </c>
      <c r="DH63" s="123">
        <v>6061.4</v>
      </c>
      <c r="DI63" s="123">
        <v>9813.3</v>
      </c>
      <c r="DJ63" s="123">
        <v>14490.8</v>
      </c>
      <c r="DK63" s="123">
        <v>16900</v>
      </c>
      <c r="DL63" s="123">
        <v>21590.8</v>
      </c>
      <c r="DM63" s="123">
        <v>26002.3</v>
      </c>
      <c r="DN63" s="123">
        <v>31301</v>
      </c>
      <c r="DO63" s="123">
        <v>34194.4</v>
      </c>
      <c r="DP63" s="123">
        <v>36947.4</v>
      </c>
      <c r="DQ63" s="123">
        <v>39048.4</v>
      </c>
      <c r="DR63" s="123">
        <v>2913</v>
      </c>
      <c r="DS63" s="123">
        <f t="shared" si="82"/>
        <v>41961.4</v>
      </c>
      <c r="DT63" s="123">
        <v>4905</v>
      </c>
      <c r="DU63" s="123">
        <v>3816</v>
      </c>
      <c r="DV63" s="123">
        <v>4841</v>
      </c>
      <c r="DW63" s="123">
        <v>3917</v>
      </c>
      <c r="DX63" s="123">
        <f>'[1]Feuil2'!$D$37</f>
        <v>2116.535</v>
      </c>
      <c r="DY63" s="123">
        <f>'[2]Feuil3'!$E$42</f>
        <v>4636.481</v>
      </c>
      <c r="DZ63" s="123">
        <v>5898</v>
      </c>
      <c r="EA63" s="123">
        <v>8914</v>
      </c>
      <c r="EB63" s="123">
        <v>9892.214</v>
      </c>
      <c r="EC63" s="123">
        <f>10369.276+69.6</f>
        <v>10438.876</v>
      </c>
      <c r="ED63" s="123">
        <v>10124</v>
      </c>
      <c r="EE63" s="123">
        <v>11146</v>
      </c>
      <c r="EF63" s="150">
        <f t="shared" si="74"/>
        <v>80645.106</v>
      </c>
      <c r="EG63" s="123">
        <v>10645</v>
      </c>
      <c r="EH63" s="123">
        <v>11413</v>
      </c>
      <c r="EI63" s="123">
        <v>9080</v>
      </c>
      <c r="EJ63" s="123">
        <f>'[3]avril pays'!$C$46</f>
        <v>7615.334</v>
      </c>
      <c r="EK63" s="123">
        <v>5360.4</v>
      </c>
      <c r="EL63" s="123">
        <v>9404.6</v>
      </c>
      <c r="EM63" s="123">
        <v>9089</v>
      </c>
      <c r="EN63" s="123">
        <v>11872.89</v>
      </c>
      <c r="EO63" s="123">
        <v>21038.869</v>
      </c>
      <c r="EP63" s="123">
        <v>11426.326</v>
      </c>
      <c r="EQ63" s="123">
        <v>12327.7</v>
      </c>
      <c r="ER63" s="123">
        <v>14773.1</v>
      </c>
      <c r="ES63" s="123">
        <f t="shared" si="75"/>
        <v>134046.21899999998</v>
      </c>
      <c r="ET63" s="123">
        <v>8971.884</v>
      </c>
      <c r="EU63" s="123">
        <v>10385.936</v>
      </c>
      <c r="EV63" s="147">
        <f>'[4]IV5-IV6'!$D$50</f>
        <v>9079.523</v>
      </c>
      <c r="EW63" s="147">
        <v>8005.24</v>
      </c>
      <c r="EX63" s="147">
        <v>9181.15</v>
      </c>
      <c r="EY63" s="147">
        <v>10636.3</v>
      </c>
      <c r="EZ63" s="147">
        <v>9042.118</v>
      </c>
      <c r="FA63" s="152">
        <v>13285.589</v>
      </c>
      <c r="FB63" s="152">
        <v>11536.2</v>
      </c>
      <c r="FC63" s="123">
        <v>10469.522</v>
      </c>
      <c r="FD63" s="123">
        <v>8952.856</v>
      </c>
      <c r="FE63" s="123">
        <v>8754.026</v>
      </c>
      <c r="FF63" s="123">
        <f t="shared" si="76"/>
        <v>118300.34399999998</v>
      </c>
      <c r="FG63" s="123">
        <v>9604.812</v>
      </c>
      <c r="FH63" s="123">
        <v>9511.898</v>
      </c>
      <c r="FI63" s="123">
        <v>8542.381</v>
      </c>
      <c r="FJ63" s="123">
        <f>'[5]IV5-IV6'!$C$19</f>
        <v>7060.423</v>
      </c>
      <c r="FK63" s="123">
        <v>7585.999</v>
      </c>
      <c r="FL63" s="123">
        <v>11008.9</v>
      </c>
      <c r="FM63" s="123">
        <v>11461.654</v>
      </c>
      <c r="FN63" s="123">
        <v>11590.865</v>
      </c>
      <c r="FO63" s="123">
        <v>10571.861</v>
      </c>
      <c r="FP63" s="123">
        <v>9739.1</v>
      </c>
      <c r="FQ63" s="123">
        <v>13790.268</v>
      </c>
      <c r="FR63" s="123">
        <v>76249.5</v>
      </c>
      <c r="FS63" s="123">
        <f t="shared" si="77"/>
        <v>186717.66100000002</v>
      </c>
      <c r="FT63" s="123">
        <v>9511.898</v>
      </c>
      <c r="FU63" s="123">
        <v>34024.62</v>
      </c>
      <c r="FV63" s="123">
        <v>35488.476</v>
      </c>
      <c r="FW63" s="123">
        <v>32411.669</v>
      </c>
      <c r="FX63" s="123">
        <v>9991.859</v>
      </c>
      <c r="FY63" s="123">
        <v>14209.722</v>
      </c>
      <c r="FZ63" s="123">
        <v>12127.609</v>
      </c>
      <c r="GA63" s="123">
        <v>15947.632</v>
      </c>
      <c r="GB63" s="123">
        <v>20436.38</v>
      </c>
      <c r="GC63" s="123">
        <v>19033.953</v>
      </c>
      <c r="GD63" s="123">
        <v>21110.822</v>
      </c>
      <c r="GE63" s="123">
        <v>21010.176</v>
      </c>
      <c r="GF63" s="123">
        <v>19311.242</v>
      </c>
      <c r="GG63" s="123">
        <f t="shared" si="78"/>
        <v>255104.16000000003</v>
      </c>
      <c r="GH63" s="123">
        <v>17648.114</v>
      </c>
      <c r="GI63" s="123">
        <v>15131.612</v>
      </c>
      <c r="GJ63" s="123">
        <v>12745.837</v>
      </c>
      <c r="GK63" s="123">
        <v>13494.356</v>
      </c>
      <c r="GL63" s="123">
        <v>9603.499</v>
      </c>
      <c r="GM63" s="123">
        <v>11236.154</v>
      </c>
      <c r="GN63" s="123">
        <v>12070.767</v>
      </c>
      <c r="GO63" s="123">
        <v>16423.506</v>
      </c>
      <c r="GP63" s="123">
        <v>21345.314</v>
      </c>
      <c r="GQ63" s="123">
        <v>12617.86</v>
      </c>
      <c r="GR63" s="123">
        <v>17036.452</v>
      </c>
      <c r="GS63" s="123">
        <v>11184.976</v>
      </c>
      <c r="GT63" s="123">
        <v>11205.325</v>
      </c>
      <c r="GU63" s="123">
        <v>15435.982</v>
      </c>
      <c r="GV63" s="123">
        <v>12898.885</v>
      </c>
      <c r="GW63" s="123">
        <v>14340.674</v>
      </c>
      <c r="GX63" s="123">
        <v>10727.59</v>
      </c>
      <c r="GY63" s="123">
        <v>14960.079</v>
      </c>
      <c r="GZ63" s="123">
        <v>11010.44</v>
      </c>
      <c r="HA63" s="123">
        <v>13258.273</v>
      </c>
      <c r="HB63" s="123">
        <v>10969.398</v>
      </c>
      <c r="HC63" s="123">
        <v>10617.829</v>
      </c>
      <c r="HD63" s="123">
        <v>11784.645</v>
      </c>
      <c r="HE63" s="123">
        <v>12672.079</v>
      </c>
      <c r="HF63" s="123">
        <v>14225.813</v>
      </c>
      <c r="HG63" s="123">
        <v>9506.756</v>
      </c>
      <c r="HH63" s="123">
        <v>8848.299</v>
      </c>
      <c r="HI63" s="123">
        <v>11421.596</v>
      </c>
      <c r="HJ63" s="123">
        <v>14960.318</v>
      </c>
      <c r="HK63" s="123">
        <v>11380.212</v>
      </c>
      <c r="HL63" s="123">
        <v>10253.811</v>
      </c>
      <c r="HM63" s="123">
        <v>16661.092</v>
      </c>
      <c r="HN63" s="123">
        <v>18390.807</v>
      </c>
      <c r="HO63" s="123">
        <v>18917.755</v>
      </c>
      <c r="HP63" s="123">
        <v>13284.556</v>
      </c>
      <c r="HQ63" s="123">
        <v>15332.228</v>
      </c>
      <c r="HR63" s="123">
        <v>18090.578</v>
      </c>
      <c r="HS63" s="123">
        <v>14732.083</v>
      </c>
      <c r="HT63" s="123">
        <v>20449.07</v>
      </c>
      <c r="HU63" s="123">
        <v>12503.679</v>
      </c>
      <c r="HV63" s="123"/>
      <c r="HW63" s="123"/>
      <c r="HX63" s="123"/>
      <c r="HY63" s="123"/>
      <c r="HZ63" s="123"/>
      <c r="IA63" s="123"/>
      <c r="IB63" s="123"/>
      <c r="IC63" s="123"/>
      <c r="ID63" s="150">
        <f t="shared" si="79"/>
        <v>44002.464</v>
      </c>
      <c r="IE63" s="150">
        <f t="shared" si="80"/>
        <v>65775.41</v>
      </c>
    </row>
    <row r="64" spans="1:239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7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8"/>
        <v>30647</v>
      </c>
      <c r="AD64" s="49">
        <f t="shared" si="59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60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61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2"/>
        <v>47299.7</v>
      </c>
      <c r="BX64" s="42">
        <v>4247</v>
      </c>
      <c r="BY64" s="17">
        <f t="shared" si="81"/>
        <v>4843.299999999999</v>
      </c>
      <c r="BZ64" s="17">
        <f t="shared" si="63"/>
        <v>4575.5</v>
      </c>
      <c r="CA64" s="17">
        <f t="shared" si="64"/>
        <v>1868.5</v>
      </c>
      <c r="CB64" s="17">
        <f t="shared" si="65"/>
        <v>3023.7000000000007</v>
      </c>
      <c r="CC64" s="17">
        <f t="shared" si="66"/>
        <v>4106</v>
      </c>
      <c r="CD64" s="17">
        <f t="shared" si="67"/>
        <v>5018</v>
      </c>
      <c r="CE64" s="17">
        <f t="shared" si="68"/>
        <v>3921.7999999999993</v>
      </c>
      <c r="CF64" s="17">
        <f t="shared" si="69"/>
        <v>4286.200000000001</v>
      </c>
      <c r="CG64" s="17">
        <f t="shared" si="70"/>
        <v>4286.800000000007</v>
      </c>
      <c r="CH64" s="17">
        <f t="shared" si="71"/>
        <v>5262.5</v>
      </c>
      <c r="CI64" s="17">
        <f t="shared" si="72"/>
        <v>2837.7000000000007</v>
      </c>
      <c r="CJ64" s="87">
        <f t="shared" si="73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85411.68900000001</v>
      </c>
      <c r="DG64" s="123">
        <v>1010.7</v>
      </c>
      <c r="DH64" s="123">
        <v>1673.7</v>
      </c>
      <c r="DI64" s="123">
        <v>2909.7</v>
      </c>
      <c r="DJ64" s="123">
        <v>3652.7</v>
      </c>
      <c r="DK64" s="123">
        <v>4866.7</v>
      </c>
      <c r="DL64" s="123">
        <v>7706.7</v>
      </c>
      <c r="DM64" s="123">
        <v>9902.7</v>
      </c>
      <c r="DN64" s="123">
        <v>14176.7</v>
      </c>
      <c r="DO64" s="123">
        <v>18045.6</v>
      </c>
      <c r="DP64" s="123">
        <v>21736.6</v>
      </c>
      <c r="DQ64" s="123">
        <v>25650.6</v>
      </c>
      <c r="DR64" s="123">
        <v>5598</v>
      </c>
      <c r="DS64" s="123">
        <f t="shared" si="82"/>
        <v>31248.6</v>
      </c>
      <c r="DT64" s="123">
        <v>9033</v>
      </c>
      <c r="DU64" s="123">
        <v>6273</v>
      </c>
      <c r="DV64" s="123">
        <v>5327</v>
      </c>
      <c r="DW64" s="123">
        <v>5763</v>
      </c>
      <c r="DX64" s="123">
        <f>'[1]Feuil2'!$D$41</f>
        <v>6471.031</v>
      </c>
      <c r="DY64" s="123">
        <f>'[2]Feuil3'!$E$46</f>
        <v>6900.058</v>
      </c>
      <c r="DZ64" s="123">
        <v>7030</v>
      </c>
      <c r="EA64" s="123">
        <v>12024</v>
      </c>
      <c r="EB64" s="123">
        <v>10316.149</v>
      </c>
      <c r="EC64" s="123">
        <v>9411.185</v>
      </c>
      <c r="ED64" s="123">
        <v>11002</v>
      </c>
      <c r="EE64" s="123">
        <v>11721.6</v>
      </c>
      <c r="EF64" s="150">
        <f t="shared" si="74"/>
        <v>101272.023</v>
      </c>
      <c r="EG64" s="123">
        <v>10612</v>
      </c>
      <c r="EH64" s="123">
        <v>10608</v>
      </c>
      <c r="EI64" s="123">
        <v>6908</v>
      </c>
      <c r="EJ64" s="123">
        <f>'[3]avril pays'!$C$49</f>
        <v>8607.965</v>
      </c>
      <c r="EK64" s="123">
        <v>5183.4</v>
      </c>
      <c r="EL64" s="123">
        <v>8636.7</v>
      </c>
      <c r="EM64" s="123">
        <v>8542.5</v>
      </c>
      <c r="EN64" s="123">
        <v>10312.52</v>
      </c>
      <c r="EO64" s="123">
        <v>7030.653</v>
      </c>
      <c r="EP64" s="123">
        <v>5306.55</v>
      </c>
      <c r="EQ64" s="123">
        <v>5465.8</v>
      </c>
      <c r="ER64" s="123">
        <v>5077.1</v>
      </c>
      <c r="ES64" s="123">
        <f t="shared" si="75"/>
        <v>92291.18800000002</v>
      </c>
      <c r="ET64" s="123">
        <v>6926.83</v>
      </c>
      <c r="EU64" s="123">
        <v>7845.098</v>
      </c>
      <c r="EV64" s="123">
        <f>'[4]IV5-IV6'!$D$54</f>
        <v>6907.966</v>
      </c>
      <c r="EW64" s="123">
        <v>8401.13</v>
      </c>
      <c r="EX64" s="123">
        <v>10394.27</v>
      </c>
      <c r="EY64" s="123">
        <v>8063.7</v>
      </c>
      <c r="EZ64" s="123">
        <v>7104.712</v>
      </c>
      <c r="FA64" s="123">
        <v>6366.306</v>
      </c>
      <c r="FB64" s="123">
        <v>4081.2</v>
      </c>
      <c r="FC64" s="123">
        <v>6684.947</v>
      </c>
      <c r="FD64" s="123">
        <v>4944.709</v>
      </c>
      <c r="FE64" s="123">
        <v>5992.908</v>
      </c>
      <c r="FF64" s="123">
        <f t="shared" si="76"/>
        <v>83713.77599999998</v>
      </c>
      <c r="FG64" s="123">
        <v>3416.723</v>
      </c>
      <c r="FH64" s="123">
        <v>2927.766</v>
      </c>
      <c r="FI64" s="123">
        <v>1439.995</v>
      </c>
      <c r="FJ64" s="123">
        <f>'[5]IV5-IV6'!$C$21</f>
        <v>349.725</v>
      </c>
      <c r="FK64" s="123">
        <v>2463.681</v>
      </c>
      <c r="FL64" s="123">
        <v>2997.1</v>
      </c>
      <c r="FM64" s="123">
        <v>1603.581</v>
      </c>
      <c r="FN64" s="123">
        <v>3032.89</v>
      </c>
      <c r="FO64" s="123">
        <v>2505.893</v>
      </c>
      <c r="FP64" s="123">
        <v>922.6</v>
      </c>
      <c r="FQ64" s="123">
        <v>610.103</v>
      </c>
      <c r="FR64" s="123">
        <v>2399.3</v>
      </c>
      <c r="FS64" s="123">
        <f t="shared" si="77"/>
        <v>24669.356999999996</v>
      </c>
      <c r="FT64" s="123">
        <v>2927.766</v>
      </c>
      <c r="FU64" s="123">
        <v>271.022</v>
      </c>
      <c r="FV64" s="123">
        <v>1862.774</v>
      </c>
      <c r="FW64" s="123">
        <v>1796.91</v>
      </c>
      <c r="FX64" s="123">
        <v>958.449</v>
      </c>
      <c r="FY64" s="123">
        <v>715.603</v>
      </c>
      <c r="FZ64" s="123">
        <v>213.155</v>
      </c>
      <c r="GA64" s="123">
        <v>2169.954</v>
      </c>
      <c r="GB64" s="123">
        <v>2129.27</v>
      </c>
      <c r="GC64" s="123">
        <v>1454.012</v>
      </c>
      <c r="GD64" s="123">
        <v>606.381</v>
      </c>
      <c r="GE64" s="123">
        <v>1153.234</v>
      </c>
      <c r="GF64" s="123">
        <v>379.05</v>
      </c>
      <c r="GG64" s="123">
        <f t="shared" si="78"/>
        <v>13709.814</v>
      </c>
      <c r="GH64" s="123">
        <v>653.63</v>
      </c>
      <c r="GI64" s="123">
        <v>441</v>
      </c>
      <c r="GJ64" s="123">
        <v>658.6</v>
      </c>
      <c r="GK64" s="123">
        <v>518.352</v>
      </c>
      <c r="GL64" s="123"/>
      <c r="GM64" s="123">
        <v>1898.992</v>
      </c>
      <c r="GN64" s="123">
        <v>353.254</v>
      </c>
      <c r="GO64" s="123">
        <v>762.977</v>
      </c>
      <c r="GP64" s="123">
        <v>1213.095</v>
      </c>
      <c r="GQ64" s="123">
        <v>0.6</v>
      </c>
      <c r="GR64" s="123">
        <v>2252.805</v>
      </c>
      <c r="GS64" s="123">
        <v>1107.55</v>
      </c>
      <c r="GT64" s="123">
        <v>1996.923</v>
      </c>
      <c r="GU64" s="123">
        <v>1009.9</v>
      </c>
      <c r="GV64" s="123">
        <v>1418.431</v>
      </c>
      <c r="GW64" s="123">
        <v>2642.421</v>
      </c>
      <c r="GX64" s="123">
        <v>2298.474</v>
      </c>
      <c r="GY64" s="123">
        <v>4203.389</v>
      </c>
      <c r="GZ64" s="123">
        <v>3310.708</v>
      </c>
      <c r="HA64" s="123">
        <v>5268.771</v>
      </c>
      <c r="HB64" s="123">
        <v>6370.662</v>
      </c>
      <c r="HC64" s="123">
        <v>6368.243</v>
      </c>
      <c r="HD64" s="123">
        <v>5019.702</v>
      </c>
      <c r="HE64" s="123">
        <v>6066.755</v>
      </c>
      <c r="HF64" s="123">
        <v>5598.072</v>
      </c>
      <c r="HG64" s="123">
        <v>4204.902</v>
      </c>
      <c r="HH64" s="123">
        <v>7993.285</v>
      </c>
      <c r="HI64" s="123">
        <v>5032.18</v>
      </c>
      <c r="HJ64" s="123">
        <v>9466.78</v>
      </c>
      <c r="HK64" s="123">
        <v>2724.363</v>
      </c>
      <c r="HL64" s="123">
        <v>6963.29</v>
      </c>
      <c r="HM64" s="123">
        <v>6357.06</v>
      </c>
      <c r="HN64" s="123">
        <v>5510.662</v>
      </c>
      <c r="HO64" s="123">
        <v>11065.288</v>
      </c>
      <c r="HP64" s="123">
        <v>11698.199</v>
      </c>
      <c r="HQ64" s="123">
        <v>8797.608</v>
      </c>
      <c r="HR64" s="123">
        <v>6656.616</v>
      </c>
      <c r="HS64" s="123">
        <v>6085.424</v>
      </c>
      <c r="HT64" s="123">
        <v>2902.095</v>
      </c>
      <c r="HU64" s="123">
        <v>4124.266</v>
      </c>
      <c r="HV64" s="123"/>
      <c r="HW64" s="123"/>
      <c r="HX64" s="123"/>
      <c r="HY64" s="123"/>
      <c r="HZ64" s="123"/>
      <c r="IA64" s="123"/>
      <c r="IB64" s="123"/>
      <c r="IC64" s="123"/>
      <c r="ID64" s="150">
        <f t="shared" si="79"/>
        <v>22828.439</v>
      </c>
      <c r="IE64" s="150">
        <f t="shared" si="80"/>
        <v>19768.400999999998</v>
      </c>
    </row>
    <row r="65" spans="1:239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7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8"/>
        <v>1656</v>
      </c>
      <c r="AD65" s="49">
        <f t="shared" si="59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60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61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2"/>
        <v>128.2</v>
      </c>
      <c r="BX65" s="42" t="s">
        <v>36</v>
      </c>
      <c r="BY65" s="17">
        <f t="shared" si="81"/>
        <v>35.4</v>
      </c>
      <c r="BZ65" s="17">
        <f t="shared" si="63"/>
        <v>0</v>
      </c>
      <c r="CA65" s="17">
        <f t="shared" si="64"/>
        <v>36.6</v>
      </c>
      <c r="CB65" s="17">
        <f t="shared" si="65"/>
        <v>0</v>
      </c>
      <c r="CC65" s="17">
        <f t="shared" si="66"/>
        <v>35.29999999999999</v>
      </c>
      <c r="CD65" s="17">
        <f t="shared" si="67"/>
        <v>3.5</v>
      </c>
      <c r="CE65" s="17">
        <f t="shared" si="68"/>
        <v>31.500000000000036</v>
      </c>
      <c r="CF65" s="17">
        <f t="shared" si="69"/>
        <v>26</v>
      </c>
      <c r="CG65" s="17">
        <f t="shared" si="70"/>
        <v>36.00000000000001</v>
      </c>
      <c r="CH65" s="17">
        <f t="shared" si="71"/>
        <v>0</v>
      </c>
      <c r="CI65" s="17">
        <f t="shared" si="72"/>
        <v>-0.30000000000001137</v>
      </c>
      <c r="CJ65" s="87">
        <f t="shared" si="73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64">
        <v>0.10600000000000001</v>
      </c>
      <c r="DG65" s="164">
        <v>18</v>
      </c>
      <c r="DH65" s="164">
        <v>19</v>
      </c>
      <c r="DI65" s="164">
        <v>37</v>
      </c>
      <c r="DJ65" s="164">
        <v>70</v>
      </c>
      <c r="DK65" s="164">
        <v>73</v>
      </c>
      <c r="DL65" s="164">
        <v>73</v>
      </c>
      <c r="DM65" s="164">
        <v>91</v>
      </c>
      <c r="DN65" s="164">
        <v>109</v>
      </c>
      <c r="DO65" s="164">
        <v>109</v>
      </c>
      <c r="DP65" s="164">
        <v>109</v>
      </c>
      <c r="DQ65" s="164">
        <v>109</v>
      </c>
      <c r="DR65" s="164"/>
      <c r="DS65" s="164">
        <f t="shared" si="82"/>
        <v>109</v>
      </c>
      <c r="DT65" s="164" t="s">
        <v>36</v>
      </c>
      <c r="DU65" s="164" t="s">
        <v>36</v>
      </c>
      <c r="DV65" s="164" t="s">
        <v>36</v>
      </c>
      <c r="DW65" s="164" t="s">
        <v>36</v>
      </c>
      <c r="DX65" s="164">
        <f>'[1]Feuil2'!$D$42</f>
        <v>18.289</v>
      </c>
      <c r="DY65" s="164">
        <v>0</v>
      </c>
      <c r="DZ65" s="166" t="s">
        <v>86</v>
      </c>
      <c r="EA65" s="164">
        <v>0</v>
      </c>
      <c r="EB65" s="164">
        <v>0</v>
      </c>
      <c r="EC65" s="164">
        <v>36.12</v>
      </c>
      <c r="ED65" s="164">
        <v>0</v>
      </c>
      <c r="EE65" s="164">
        <v>18</v>
      </c>
      <c r="EF65" s="166">
        <f t="shared" si="74"/>
        <v>72.40899999999999</v>
      </c>
      <c r="EG65" s="164">
        <v>0</v>
      </c>
      <c r="EH65" s="164">
        <v>36</v>
      </c>
      <c r="EI65" s="164">
        <v>0</v>
      </c>
      <c r="EJ65" s="164">
        <v>0</v>
      </c>
      <c r="EK65" s="164">
        <v>35.1</v>
      </c>
      <c r="EL65" s="164"/>
      <c r="EM65" s="164"/>
      <c r="EN65" s="164">
        <v>0</v>
      </c>
      <c r="EO65" s="164">
        <v>0</v>
      </c>
      <c r="EP65" s="164">
        <v>0</v>
      </c>
      <c r="EQ65" s="164">
        <v>34.7</v>
      </c>
      <c r="ER65" s="164"/>
      <c r="ES65" s="164">
        <f t="shared" si="75"/>
        <v>105.8</v>
      </c>
      <c r="ET65" s="164" t="s">
        <v>36</v>
      </c>
      <c r="EU65" s="164" t="s">
        <v>36</v>
      </c>
      <c r="EV65" s="164">
        <v>0</v>
      </c>
      <c r="EW65" s="164"/>
      <c r="EX65" s="164">
        <v>0</v>
      </c>
      <c r="EY65" s="164">
        <v>18</v>
      </c>
      <c r="EZ65" s="164">
        <v>18.092</v>
      </c>
      <c r="FA65" s="164">
        <v>0</v>
      </c>
      <c r="FB65" s="164"/>
      <c r="FC65" s="164">
        <v>0</v>
      </c>
      <c r="FD65" s="164">
        <v>0</v>
      </c>
      <c r="FE65" s="164"/>
      <c r="FF65" s="164">
        <f t="shared" si="76"/>
        <v>36.092</v>
      </c>
      <c r="FG65" s="164">
        <v>37.949</v>
      </c>
      <c r="FH65" s="164">
        <v>0</v>
      </c>
      <c r="FI65" s="164">
        <v>0</v>
      </c>
      <c r="FJ65" s="164">
        <v>0</v>
      </c>
      <c r="FK65" s="164">
        <v>53.405</v>
      </c>
      <c r="FL65" s="164">
        <v>0</v>
      </c>
      <c r="FM65" s="164">
        <v>0</v>
      </c>
      <c r="FN65" s="164">
        <v>0</v>
      </c>
      <c r="FO65" s="164">
        <v>0</v>
      </c>
      <c r="FP65" s="164">
        <v>0</v>
      </c>
      <c r="FQ65" s="164">
        <v>0</v>
      </c>
      <c r="FR65" s="164">
        <v>35.6</v>
      </c>
      <c r="FS65" s="164">
        <f t="shared" si="77"/>
        <v>126.95400000000001</v>
      </c>
      <c r="FT65" s="164">
        <v>0</v>
      </c>
      <c r="FU65" s="164">
        <v>4.116</v>
      </c>
      <c r="FV65" s="164">
        <v>0</v>
      </c>
      <c r="FW65" s="164">
        <v>0.8</v>
      </c>
      <c r="FX65" s="164">
        <v>17.517</v>
      </c>
      <c r="FY65" s="164">
        <v>0</v>
      </c>
      <c r="FZ65" s="164">
        <v>0.048</v>
      </c>
      <c r="GA65" s="164">
        <v>17.895</v>
      </c>
      <c r="GB65" s="164"/>
      <c r="GC65" s="164"/>
      <c r="GD65" s="164"/>
      <c r="GE65" s="164">
        <v>35.461</v>
      </c>
      <c r="GF65" s="164"/>
      <c r="GG65" s="164">
        <f t="shared" si="78"/>
        <v>75.83699999999999</v>
      </c>
      <c r="GH65" s="164"/>
      <c r="GI65" s="164">
        <v>0</v>
      </c>
      <c r="GJ65" s="164"/>
      <c r="GK65" s="164">
        <v>0.011</v>
      </c>
      <c r="GL65" s="164"/>
      <c r="GM65" s="164"/>
      <c r="GN65" s="164">
        <v>7.6</v>
      </c>
      <c r="GO65" s="164">
        <v>26.29</v>
      </c>
      <c r="GP65" s="164">
        <v>13.64</v>
      </c>
      <c r="GQ65" s="164"/>
      <c r="GR65" s="164">
        <v>23.095</v>
      </c>
      <c r="GS65" s="164">
        <v>235.45</v>
      </c>
      <c r="GT65" s="164">
        <v>29.393</v>
      </c>
      <c r="GU65" s="164"/>
      <c r="GV65" s="164"/>
      <c r="GW65" s="164">
        <v>44</v>
      </c>
      <c r="GX65" s="164"/>
      <c r="GY65" s="164"/>
      <c r="GZ65" s="164"/>
      <c r="HA65" s="164"/>
      <c r="HB65" s="164"/>
      <c r="HC65" s="164"/>
      <c r="HD65" s="164">
        <v>17.73</v>
      </c>
      <c r="HE65" s="164">
        <v>19.277</v>
      </c>
      <c r="HF65" s="164"/>
      <c r="HG65" s="164">
        <v>0.099</v>
      </c>
      <c r="HH65" s="164"/>
      <c r="HI65" s="164"/>
      <c r="HJ65" s="164">
        <v>0.007</v>
      </c>
      <c r="HK65" s="164">
        <v>0</v>
      </c>
      <c r="HL65" s="164"/>
      <c r="HM65" s="164"/>
      <c r="HN65" s="164"/>
      <c r="HO65" s="164"/>
      <c r="HP65" s="164"/>
      <c r="HQ65" s="164"/>
      <c r="HR65" s="164"/>
      <c r="HS65" s="164">
        <v>0</v>
      </c>
      <c r="HT65" s="164">
        <v>17.3</v>
      </c>
      <c r="HU65" s="164">
        <v>0</v>
      </c>
      <c r="HV65" s="164"/>
      <c r="HW65" s="164"/>
      <c r="HX65" s="164"/>
      <c r="HY65" s="164"/>
      <c r="HZ65" s="164"/>
      <c r="IA65" s="164"/>
      <c r="IB65" s="164"/>
      <c r="IC65" s="164"/>
      <c r="ID65" s="166">
        <f t="shared" si="79"/>
        <v>0.099</v>
      </c>
      <c r="IE65" s="150">
        <f t="shared" si="80"/>
        <v>17.3</v>
      </c>
    </row>
    <row r="66" spans="1:239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11396.373</v>
      </c>
      <c r="DG66" s="123">
        <v>1453.4</v>
      </c>
      <c r="DH66" s="123">
        <v>1526.7</v>
      </c>
      <c r="DI66" s="123">
        <v>5614.7</v>
      </c>
      <c r="DJ66" s="123">
        <v>6960.8</v>
      </c>
      <c r="DK66" s="123">
        <v>8452</v>
      </c>
      <c r="DL66" s="123">
        <v>9635.1</v>
      </c>
      <c r="DM66" s="123">
        <v>13409.6</v>
      </c>
      <c r="DN66" s="123">
        <v>17119.43</v>
      </c>
      <c r="DO66" s="123">
        <v>20532.7</v>
      </c>
      <c r="DP66" s="123">
        <v>21506.2</v>
      </c>
      <c r="DQ66" s="123">
        <v>21943.4</v>
      </c>
      <c r="DR66" s="123">
        <v>1276</v>
      </c>
      <c r="DS66" s="123">
        <f t="shared" si="82"/>
        <v>23219.4</v>
      </c>
      <c r="DT66" s="123">
        <v>1537</v>
      </c>
      <c r="DU66" s="123">
        <v>185</v>
      </c>
      <c r="DV66" s="123">
        <f>1120+2+15+1+76+1116</f>
        <v>2330</v>
      </c>
      <c r="DW66" s="123">
        <f>1458+1+1+4+17+82</f>
        <v>1563</v>
      </c>
      <c r="DX66" s="123">
        <f>'[1]Feuil2'!$D$15+'[1]Feuil2'!$D$27+'[1]Feuil2'!$D$33</f>
        <v>870.673</v>
      </c>
      <c r="DY66" s="123">
        <f>'[2]Feuil3'!$E$14+'[2]Feuil3'!$E$30+'[2]Feuil3'!$E$31+'[2]Feuil3'!$E$41</f>
        <v>1696.011</v>
      </c>
      <c r="DZ66" s="161">
        <f>2+68+0.3+1257+7.4</f>
        <v>1334.7</v>
      </c>
      <c r="EA66" s="161">
        <v>645.1</v>
      </c>
      <c r="EB66" s="123">
        <v>889.4610000000001</v>
      </c>
      <c r="EC66" s="123">
        <v>225.60899999999995</v>
      </c>
      <c r="ED66" s="123">
        <f>4+744+0.2+0.4+67+430+1+32</f>
        <v>1278.6</v>
      </c>
      <c r="EE66" s="123">
        <f>2+1179.4+0.5+0.47+198+64.5</f>
        <v>1444.8700000000001</v>
      </c>
      <c r="EF66" s="150">
        <f t="shared" si="74"/>
        <v>14000.024000000001</v>
      </c>
      <c r="EG66" s="123">
        <f>321+0.2+1+3+0.2+173</f>
        <v>498.4</v>
      </c>
      <c r="EH66" s="123">
        <f>1289+184+0.2+0.1+2+0.2</f>
        <v>1475.5</v>
      </c>
      <c r="EI66" s="123">
        <f>0.1+1312+0.2+0.1+66+76+1+51</f>
        <v>1506.3999999999999</v>
      </c>
      <c r="EJ66" s="123">
        <f>'[3]avril pays'!$C$4+'[3]avril pays'!$C$9+'[3]avril pays'!$C$14+'[3]avril pays'!$C$19+'[3]avril pays'!$C$30+'[3]avril pays'!$C$32+'[3]avril pays'!$C$33+'[3]avril pays'!$C$45</f>
        <v>998.312</v>
      </c>
      <c r="EK66" s="123">
        <f>0.4+0.2+0.1+147.5+260.9+0.3+0.7+0.4+246.9+8.5+0.1</f>
        <v>666</v>
      </c>
      <c r="EL66" s="123">
        <f>1.1+1.6+828.9+2.2+3.3+0.2</f>
        <v>837.3000000000001</v>
      </c>
      <c r="EM66" s="123">
        <f>1550.7+0.1+0.3+0.5+182.6+0.2+0.3+0.2</f>
        <v>1734.8999999999999</v>
      </c>
      <c r="EN66" s="123">
        <f>0.19+0.23+1826.74+5.52+0.66+0.13+2.37+113.01+141.29+293.28+0.08+0.02+0.16+404.41+0.1+3</f>
        <v>2791.1899999999996</v>
      </c>
      <c r="EO66" s="123">
        <v>1890.64</v>
      </c>
      <c r="EP66" s="123">
        <v>1707.8999999999999</v>
      </c>
      <c r="EQ66" s="123">
        <v>369.19999999999993</v>
      </c>
      <c r="ER66" s="123">
        <f>0.9+510.8+0.6+2.2+1+3.2+0.8+136.1+1+0.5+0.9+1.6</f>
        <v>659.6</v>
      </c>
      <c r="ES66" s="123">
        <f t="shared" si="75"/>
        <v>15135.342</v>
      </c>
      <c r="ET66" s="123">
        <v>1229.379</v>
      </c>
      <c r="EU66" s="123">
        <v>1349.202</v>
      </c>
      <c r="EV66" s="123">
        <f>'[4]IV5-IV6'!$D$6+'[4]IV5-IV6'!$D$17+'[4]IV5-IV6'!$D$18+'[4]IV5-IV6'!$D$21+'[4]IV5-IV6'!$D$24+'[4]IV5-IV6'!$D$34+'[4]IV5-IV6'!$D$36+'[4]IV5-IV6'!$D$37+'[4]IV5-IV6'!$D$49</f>
        <v>1505.2979999999998</v>
      </c>
      <c r="EW66" s="123">
        <f>0.03+0.34+0.39+1227.34+1.02+0.19+109.47+19.5+0.13+0.24+172.5</f>
        <v>1531.15</v>
      </c>
      <c r="EX66" s="123">
        <f>902.7+0.35+9+1.678+112+6+6.795+0.87+1.8</f>
        <v>1041.193</v>
      </c>
      <c r="EY66" s="123">
        <f>8+510.6+0.2+0.2+0.5+17.2+34.1+0.5+4+0.1</f>
        <v>575.4000000000002</v>
      </c>
      <c r="EZ66" s="123">
        <v>649.623</v>
      </c>
      <c r="FA66" s="123">
        <v>454.94399999999996</v>
      </c>
      <c r="FB66" s="123">
        <f>0.2+1.6+1301.3+0.21+0.6+0.6+0.011+106.9+0.2+3.3+14.2</f>
        <v>1429.1209999999999</v>
      </c>
      <c r="FC66" s="123">
        <v>975.4369999999999</v>
      </c>
      <c r="FD66" s="123">
        <v>1594.4080000000001</v>
      </c>
      <c r="FE66" s="123">
        <v>675.963</v>
      </c>
      <c r="FF66" s="123">
        <f t="shared" si="76"/>
        <v>13011.117999999999</v>
      </c>
      <c r="FG66" s="123">
        <v>2294.697958</v>
      </c>
      <c r="FH66" s="123">
        <v>1248.3949999999998</v>
      </c>
      <c r="FI66" s="123">
        <v>1055.455</v>
      </c>
      <c r="FJ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K66" s="123">
        <v>749.695</v>
      </c>
      <c r="FL66" s="123">
        <f>24.8+115.8+0.3+264.5+28.2+0.2+0.5+1.9</f>
        <v>436.19999999999993</v>
      </c>
      <c r="FM66" s="123">
        <v>1560.6619999999966</v>
      </c>
      <c r="FN66" s="123">
        <v>2004.8400000000001</v>
      </c>
      <c r="FO66" s="123">
        <v>1775.8060000000114</v>
      </c>
      <c r="FP66" s="123">
        <f>2.8+2.4+1.1+1.4+1+0.4+0.1+0.2+1267.9+0.4+0.4</f>
        <v>1278.1000000000004</v>
      </c>
      <c r="FQ66" s="123">
        <v>1190.949999999997</v>
      </c>
      <c r="FR66" s="123">
        <v>969.2999999999969</v>
      </c>
      <c r="FS66" s="123">
        <f t="shared" si="77"/>
        <v>14839.592958000003</v>
      </c>
      <c r="FT66" s="123">
        <v>1248.3949999999998</v>
      </c>
      <c r="FU66" s="123">
        <v>1372.3359999999998</v>
      </c>
      <c r="FV66" s="123">
        <v>607.383</v>
      </c>
      <c r="FW66" s="123">
        <v>196.89199999999994</v>
      </c>
      <c r="FX66" s="123">
        <v>430.865</v>
      </c>
      <c r="FY66" s="123">
        <v>345.6629999999999</v>
      </c>
      <c r="FZ66" s="123">
        <v>1529.2859999999998</v>
      </c>
      <c r="GA66" s="123">
        <v>3035.089</v>
      </c>
      <c r="GB66" s="123">
        <v>2019.749</v>
      </c>
      <c r="GC66" s="123">
        <v>1476.0579999999998</v>
      </c>
      <c r="GD66" s="123">
        <v>215.48299999999998</v>
      </c>
      <c r="GE66" s="123">
        <v>726.3720000000001</v>
      </c>
      <c r="GF66" s="123">
        <v>372.715</v>
      </c>
      <c r="GG66" s="123">
        <f t="shared" si="78"/>
        <v>12327.890999999998</v>
      </c>
      <c r="GH66" s="123">
        <v>1740.464</v>
      </c>
      <c r="GI66" s="123">
        <v>778.074</v>
      </c>
      <c r="GJ66" s="123">
        <v>1191.8070000000002</v>
      </c>
      <c r="GK66" s="123">
        <v>167.112</v>
      </c>
      <c r="GL66" s="123">
        <v>1434.8</v>
      </c>
      <c r="GM66" s="123">
        <v>448.25399999999996</v>
      </c>
      <c r="GN66" s="123">
        <v>198.87399999999997</v>
      </c>
      <c r="GO66" s="123">
        <v>212.444</v>
      </c>
      <c r="GP66" s="123">
        <v>602.9510000000001</v>
      </c>
      <c r="GQ66" s="123">
        <v>253.27400000000006</v>
      </c>
      <c r="GR66" s="123">
        <v>550.8220000000001</v>
      </c>
      <c r="GS66" s="123">
        <v>78.051</v>
      </c>
      <c r="GT66" s="123">
        <v>160.43</v>
      </c>
      <c r="GU66" s="123">
        <v>175.837</v>
      </c>
      <c r="GV66" s="123">
        <v>213.066</v>
      </c>
      <c r="GW66" s="123">
        <v>704.8030000000001</v>
      </c>
      <c r="GX66" s="123">
        <v>63.931</v>
      </c>
      <c r="GY66" s="123">
        <v>118.38200000000002</v>
      </c>
      <c r="GZ66" s="123">
        <v>131.475</v>
      </c>
      <c r="HA66" s="123">
        <v>42.959999999999994</v>
      </c>
      <c r="HB66" s="123">
        <v>1223.907</v>
      </c>
      <c r="HC66" s="123">
        <v>1374.057</v>
      </c>
      <c r="HD66" s="123">
        <v>688.8950000000001</v>
      </c>
      <c r="HE66" s="123">
        <v>378.78</v>
      </c>
      <c r="HF66" s="123">
        <v>85.408</v>
      </c>
      <c r="HG66" s="123">
        <v>110.35700000000001</v>
      </c>
      <c r="HH66" s="123">
        <v>1023.11</v>
      </c>
      <c r="HI66" s="123">
        <v>119.084</v>
      </c>
      <c r="HJ66" s="123">
        <v>606.6030000000002</v>
      </c>
      <c r="HK66" s="123">
        <v>373.594</v>
      </c>
      <c r="HL66" s="123">
        <v>187.65299999999996</v>
      </c>
      <c r="HM66" s="123">
        <v>1024.569</v>
      </c>
      <c r="HN66" s="123">
        <v>1271.927</v>
      </c>
      <c r="HO66" s="123">
        <v>2960.6049999999996</v>
      </c>
      <c r="HP66" s="123">
        <v>2026.5430000000001</v>
      </c>
      <c r="HQ66" s="123">
        <v>1606.92</v>
      </c>
      <c r="HR66" s="123">
        <v>1084.628</v>
      </c>
      <c r="HS66" s="123">
        <v>5275.7119999999995</v>
      </c>
      <c r="HT66" s="123">
        <v>2518.643</v>
      </c>
      <c r="HU66" s="123">
        <v>1889.9850000000001</v>
      </c>
      <c r="HV66" s="123"/>
      <c r="HW66" s="123"/>
      <c r="HX66" s="123"/>
      <c r="HY66" s="123"/>
      <c r="HZ66" s="123"/>
      <c r="IA66" s="123"/>
      <c r="IB66" s="123"/>
      <c r="IC66" s="123"/>
      <c r="ID66" s="150">
        <f t="shared" si="79"/>
        <v>1337.959</v>
      </c>
      <c r="IE66" s="150">
        <f t="shared" si="80"/>
        <v>10768.968</v>
      </c>
    </row>
    <row r="67" spans="1:239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50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47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50"/>
      <c r="IE67" s="150"/>
    </row>
    <row r="68" spans="1:239" ht="15.75">
      <c r="A68" s="130" t="s">
        <v>70</v>
      </c>
      <c r="B68" s="65">
        <f aca="true" t="shared" si="83" ref="B68:AW68">SUM(B70:B72)</f>
        <v>3954</v>
      </c>
      <c r="C68" s="65">
        <f t="shared" si="83"/>
        <v>10883</v>
      </c>
      <c r="D68" s="65">
        <f t="shared" si="83"/>
        <v>13346</v>
      </c>
      <c r="E68" s="65">
        <f t="shared" si="83"/>
        <v>3483</v>
      </c>
      <c r="F68" s="65">
        <f t="shared" si="83"/>
        <v>2600</v>
      </c>
      <c r="G68" s="65">
        <f t="shared" si="83"/>
        <v>3093</v>
      </c>
      <c r="H68" s="65">
        <f t="shared" si="83"/>
        <v>4198</v>
      </c>
      <c r="I68" s="65">
        <f t="shared" si="83"/>
        <v>2177</v>
      </c>
      <c r="J68" s="65">
        <f t="shared" si="83"/>
        <v>2251</v>
      </c>
      <c r="K68" s="65">
        <f t="shared" si="83"/>
        <v>5949</v>
      </c>
      <c r="L68" s="65">
        <f t="shared" si="83"/>
        <v>31249</v>
      </c>
      <c r="M68" s="65">
        <f t="shared" si="83"/>
        <v>5427</v>
      </c>
      <c r="N68" s="65">
        <f t="shared" si="83"/>
        <v>820</v>
      </c>
      <c r="O68" s="65">
        <f t="shared" si="83"/>
        <v>1755</v>
      </c>
      <c r="P68" s="65">
        <f t="shared" si="83"/>
        <v>1244</v>
      </c>
      <c r="Q68" s="65">
        <f t="shared" si="83"/>
        <v>139</v>
      </c>
      <c r="R68" s="65">
        <f t="shared" si="83"/>
        <v>33</v>
      </c>
      <c r="S68" s="65">
        <f t="shared" si="83"/>
        <v>98</v>
      </c>
      <c r="T68" s="65">
        <f t="shared" si="83"/>
        <v>105</v>
      </c>
      <c r="U68" s="65">
        <f t="shared" si="83"/>
        <v>164</v>
      </c>
      <c r="V68" s="65">
        <f t="shared" si="83"/>
        <v>70</v>
      </c>
      <c r="W68" s="65">
        <f t="shared" si="83"/>
        <v>65</v>
      </c>
      <c r="X68" s="65">
        <f t="shared" si="83"/>
        <v>133</v>
      </c>
      <c r="Y68" s="65">
        <f t="shared" si="83"/>
        <v>87</v>
      </c>
      <c r="Z68" s="65">
        <f t="shared" si="83"/>
        <v>122</v>
      </c>
      <c r="AA68" s="65">
        <f t="shared" si="83"/>
        <v>142</v>
      </c>
      <c r="AB68" s="65">
        <f t="shared" si="83"/>
        <v>86</v>
      </c>
      <c r="AC68" s="65">
        <f t="shared" si="83"/>
        <v>1244</v>
      </c>
      <c r="AD68" s="65">
        <f t="shared" si="83"/>
        <v>1913</v>
      </c>
      <c r="AE68" s="65">
        <f t="shared" si="83"/>
        <v>63</v>
      </c>
      <c r="AF68" s="65">
        <f t="shared" si="83"/>
        <v>85</v>
      </c>
      <c r="AG68" s="65">
        <f t="shared" si="83"/>
        <v>1145</v>
      </c>
      <c r="AH68" s="65">
        <f t="shared" si="83"/>
        <v>28</v>
      </c>
      <c r="AI68" s="65">
        <f t="shared" si="83"/>
        <v>74</v>
      </c>
      <c r="AJ68" s="65">
        <f t="shared" si="83"/>
        <v>88</v>
      </c>
      <c r="AK68" s="65">
        <f t="shared" si="83"/>
        <v>94</v>
      </c>
      <c r="AL68" s="65">
        <f t="shared" si="83"/>
        <v>60</v>
      </c>
      <c r="AM68" s="65">
        <f t="shared" si="83"/>
        <v>103</v>
      </c>
      <c r="AN68" s="65">
        <f t="shared" si="83"/>
        <v>43</v>
      </c>
      <c r="AO68" s="65">
        <f t="shared" si="83"/>
        <v>98</v>
      </c>
      <c r="AP68" s="65">
        <f t="shared" si="83"/>
        <v>32</v>
      </c>
      <c r="AQ68" s="65">
        <f t="shared" si="83"/>
        <v>1913</v>
      </c>
      <c r="AR68" s="65">
        <f t="shared" si="83"/>
        <v>4000</v>
      </c>
      <c r="AS68" s="65">
        <f t="shared" si="83"/>
        <v>1749</v>
      </c>
      <c r="AT68" s="65">
        <f t="shared" si="83"/>
        <v>1771</v>
      </c>
      <c r="AU68" s="65">
        <f t="shared" si="83"/>
        <v>4133</v>
      </c>
      <c r="AV68" s="65">
        <f t="shared" si="83"/>
        <v>5829.5</v>
      </c>
      <c r="AW68" s="65">
        <f t="shared" si="83"/>
        <v>5522</v>
      </c>
      <c r="AX68" s="65">
        <f aca="true" t="shared" si="84" ref="AX68:CY68">SUM(AX70:AX72)</f>
        <v>72</v>
      </c>
      <c r="AY68" s="65">
        <f t="shared" si="84"/>
        <v>75</v>
      </c>
      <c r="AZ68" s="65">
        <f t="shared" si="84"/>
        <v>624</v>
      </c>
      <c r="BA68" s="65">
        <f t="shared" si="84"/>
        <v>243</v>
      </c>
      <c r="BB68" s="65">
        <f t="shared" si="84"/>
        <v>87</v>
      </c>
      <c r="BC68" s="65">
        <f t="shared" si="84"/>
        <v>279</v>
      </c>
      <c r="BD68" s="65">
        <f t="shared" si="84"/>
        <v>882</v>
      </c>
      <c r="BE68" s="65">
        <f t="shared" si="84"/>
        <v>1060</v>
      </c>
      <c r="BF68" s="65">
        <f t="shared" si="84"/>
        <v>173</v>
      </c>
      <c r="BG68" s="65">
        <f t="shared" si="84"/>
        <v>321</v>
      </c>
      <c r="BH68" s="65">
        <f t="shared" si="84"/>
        <v>78</v>
      </c>
      <c r="BI68" s="65">
        <f t="shared" si="84"/>
        <v>239</v>
      </c>
      <c r="BJ68" s="65">
        <f t="shared" si="84"/>
        <v>4133</v>
      </c>
      <c r="BK68" s="65">
        <f t="shared" si="84"/>
        <v>145</v>
      </c>
      <c r="BL68" s="65">
        <f t="shared" si="84"/>
        <v>81</v>
      </c>
      <c r="BM68" s="65">
        <f t="shared" si="84"/>
        <v>624</v>
      </c>
      <c r="BN68" s="65">
        <f t="shared" si="84"/>
        <v>292</v>
      </c>
      <c r="BO68" s="65">
        <f t="shared" si="84"/>
        <v>352</v>
      </c>
      <c r="BP68" s="65">
        <f t="shared" si="84"/>
        <v>232</v>
      </c>
      <c r="BQ68" s="65">
        <f t="shared" si="84"/>
        <v>1209.8</v>
      </c>
      <c r="BR68" s="65">
        <f t="shared" si="84"/>
        <v>421.70000000000005</v>
      </c>
      <c r="BS68" s="65">
        <f t="shared" si="84"/>
        <v>429.8</v>
      </c>
      <c r="BT68" s="65">
        <f t="shared" si="84"/>
        <v>893.3000000000001</v>
      </c>
      <c r="BU68" s="65">
        <f t="shared" si="84"/>
        <v>576.9</v>
      </c>
      <c r="BV68" s="65">
        <f t="shared" si="84"/>
        <v>572</v>
      </c>
      <c r="BW68" s="65">
        <f t="shared" si="84"/>
        <v>5829.5</v>
      </c>
      <c r="BX68" s="65">
        <f t="shared" si="84"/>
        <v>321.8</v>
      </c>
      <c r="BY68" s="65">
        <f t="shared" si="84"/>
        <v>617.7</v>
      </c>
      <c r="BZ68" s="65">
        <f t="shared" si="84"/>
        <v>1089</v>
      </c>
      <c r="CA68" s="65">
        <f t="shared" si="84"/>
        <v>248.9999999999999</v>
      </c>
      <c r="CB68" s="65">
        <f t="shared" si="84"/>
        <v>223.5</v>
      </c>
      <c r="CC68" s="65">
        <f t="shared" si="84"/>
        <v>436.39999999999975</v>
      </c>
      <c r="CD68" s="65">
        <f t="shared" si="84"/>
        <v>281.70000000000016</v>
      </c>
      <c r="CE68" s="65">
        <f t="shared" si="84"/>
        <v>654.3999999999999</v>
      </c>
      <c r="CF68" s="65">
        <f t="shared" si="84"/>
        <v>375.29999999999984</v>
      </c>
      <c r="CG68" s="65">
        <f t="shared" si="84"/>
        <v>208.7000000000003</v>
      </c>
      <c r="CH68" s="65">
        <f t="shared" si="84"/>
        <v>666.9000000000001</v>
      </c>
      <c r="CI68" s="65">
        <f t="shared" si="84"/>
        <v>397.39999999999964</v>
      </c>
      <c r="CJ68" s="65">
        <f t="shared" si="84"/>
        <v>5521.8</v>
      </c>
      <c r="CK68" s="65">
        <f t="shared" si="84"/>
        <v>939.5</v>
      </c>
      <c r="CL68" s="65">
        <f t="shared" si="84"/>
        <v>2028.5</v>
      </c>
      <c r="CM68" s="65">
        <f t="shared" si="84"/>
        <v>2277.5</v>
      </c>
      <c r="CN68" s="65">
        <f t="shared" si="84"/>
        <v>2501</v>
      </c>
      <c r="CO68" s="65">
        <f t="shared" si="84"/>
        <v>2937.3999999999996</v>
      </c>
      <c r="CP68" s="65">
        <f t="shared" si="84"/>
        <v>3219.1</v>
      </c>
      <c r="CQ68" s="65">
        <f t="shared" si="84"/>
        <v>3873.5</v>
      </c>
      <c r="CR68" s="65">
        <f t="shared" si="84"/>
        <v>4248.799999999999</v>
      </c>
      <c r="CS68" s="65">
        <f t="shared" si="84"/>
        <v>4457.5</v>
      </c>
      <c r="CT68" s="65">
        <f t="shared" si="84"/>
        <v>5124.4</v>
      </c>
      <c r="CU68" s="65">
        <f t="shared" si="84"/>
        <v>5521.8</v>
      </c>
      <c r="CV68" s="65">
        <f t="shared" si="84"/>
        <v>5038.6</v>
      </c>
      <c r="CW68" s="65">
        <f t="shared" si="84"/>
        <v>3160.2000000000003</v>
      </c>
      <c r="CX68" s="65">
        <f t="shared" si="84"/>
        <v>11657.500000000002</v>
      </c>
      <c r="CY68" s="145">
        <f t="shared" si="84"/>
        <v>7621.599999999999</v>
      </c>
      <c r="CZ68" s="125">
        <f aca="true" t="shared" si="85" ref="CZ68:EQ68">SUM(CZ70:CZ72)</f>
        <v>27668.428</v>
      </c>
      <c r="DA68" s="125">
        <f t="shared" si="85"/>
        <v>33835.185000000005</v>
      </c>
      <c r="DB68" s="125">
        <f t="shared" si="85"/>
        <v>13667.185</v>
      </c>
      <c r="DC68" s="125">
        <f t="shared" si="85"/>
        <v>14695.958</v>
      </c>
      <c r="DD68" s="125">
        <f t="shared" si="85"/>
        <v>12621.971</v>
      </c>
      <c r="DE68" s="125">
        <f t="shared" si="85"/>
        <v>9721.726</v>
      </c>
      <c r="DF68" s="125">
        <f t="shared" si="85"/>
        <v>26360.504</v>
      </c>
      <c r="DG68" s="125">
        <f t="shared" si="85"/>
        <v>358.9</v>
      </c>
      <c r="DH68" s="125">
        <f t="shared" si="85"/>
        <v>3574.8</v>
      </c>
      <c r="DI68" s="125">
        <f t="shared" si="85"/>
        <v>3682</v>
      </c>
      <c r="DJ68" s="125">
        <f t="shared" si="85"/>
        <v>3903.6</v>
      </c>
      <c r="DK68" s="125">
        <f t="shared" si="85"/>
        <v>4119.9</v>
      </c>
      <c r="DL68" s="125">
        <f t="shared" si="85"/>
        <v>4213.5</v>
      </c>
      <c r="DM68" s="125">
        <f t="shared" si="85"/>
        <v>4319.2</v>
      </c>
      <c r="DN68" s="125">
        <f t="shared" si="85"/>
        <v>4632.2</v>
      </c>
      <c r="DO68" s="125">
        <f t="shared" si="85"/>
        <v>10899.100000000002</v>
      </c>
      <c r="DP68" s="125">
        <f t="shared" si="85"/>
        <v>11561.500000000002</v>
      </c>
      <c r="DQ68" s="125">
        <f t="shared" si="85"/>
        <v>11593.500000000002</v>
      </c>
      <c r="DR68" s="125">
        <f t="shared" si="85"/>
        <v>64</v>
      </c>
      <c r="DS68" s="125">
        <f t="shared" si="85"/>
        <v>11657.500000000002</v>
      </c>
      <c r="DT68" s="125">
        <f t="shared" si="85"/>
        <v>2661</v>
      </c>
      <c r="DU68" s="125">
        <f t="shared" si="85"/>
        <v>311</v>
      </c>
      <c r="DV68" s="125">
        <f t="shared" si="85"/>
        <v>270</v>
      </c>
      <c r="DW68" s="125">
        <f t="shared" si="85"/>
        <v>116</v>
      </c>
      <c r="DX68" s="125">
        <f t="shared" si="85"/>
        <v>94.937</v>
      </c>
      <c r="DY68" s="125">
        <f t="shared" si="85"/>
        <v>132.925</v>
      </c>
      <c r="DZ68" s="125">
        <f t="shared" si="85"/>
        <v>158.2</v>
      </c>
      <c r="EA68" s="125">
        <f t="shared" si="85"/>
        <v>410</v>
      </c>
      <c r="EB68" s="125">
        <f t="shared" si="85"/>
        <v>362.336</v>
      </c>
      <c r="EC68" s="125">
        <f t="shared" si="85"/>
        <v>730.4119999999999</v>
      </c>
      <c r="ED68" s="125">
        <f t="shared" si="85"/>
        <v>1222.79</v>
      </c>
      <c r="EE68" s="125">
        <f t="shared" si="85"/>
        <v>1152</v>
      </c>
      <c r="EF68" s="125">
        <f t="shared" si="85"/>
        <v>7621.599999999999</v>
      </c>
      <c r="EG68" s="125">
        <f t="shared" si="85"/>
        <v>246.1</v>
      </c>
      <c r="EH68" s="125">
        <f t="shared" si="85"/>
        <v>335</v>
      </c>
      <c r="EI68" s="125">
        <f t="shared" si="85"/>
        <v>304</v>
      </c>
      <c r="EJ68" s="125">
        <f t="shared" si="85"/>
        <v>537.399</v>
      </c>
      <c r="EK68" s="125">
        <f t="shared" si="85"/>
        <v>1532.7</v>
      </c>
      <c r="EL68" s="125">
        <f t="shared" si="85"/>
        <v>1240.4</v>
      </c>
      <c r="EM68" s="125">
        <f t="shared" si="85"/>
        <v>356.9</v>
      </c>
      <c r="EN68" s="125">
        <f t="shared" si="85"/>
        <v>940.0099999999999</v>
      </c>
      <c r="EO68" s="125">
        <f t="shared" si="85"/>
        <v>3619.455</v>
      </c>
      <c r="EP68" s="125">
        <f t="shared" si="85"/>
        <v>4372.164</v>
      </c>
      <c r="EQ68" s="125">
        <f t="shared" si="85"/>
        <v>5923.5</v>
      </c>
      <c r="ER68" s="125">
        <f aca="true" t="shared" si="86" ref="ER68:HC68">SUM(ER70:ER72)</f>
        <v>8260.8</v>
      </c>
      <c r="ES68" s="125">
        <f t="shared" si="86"/>
        <v>27668.428</v>
      </c>
      <c r="ET68" s="125">
        <f t="shared" si="86"/>
        <v>1824.8</v>
      </c>
      <c r="EU68" s="125">
        <f t="shared" si="86"/>
        <v>5034.865</v>
      </c>
      <c r="EV68" s="125">
        <f t="shared" si="86"/>
        <v>303.959</v>
      </c>
      <c r="EW68" s="125">
        <f t="shared" si="86"/>
        <v>6266.58</v>
      </c>
      <c r="EX68" s="125">
        <f t="shared" si="86"/>
        <v>4940.709000000001</v>
      </c>
      <c r="EY68" s="125">
        <f t="shared" si="86"/>
        <v>3048.6</v>
      </c>
      <c r="EZ68" s="125">
        <f t="shared" si="86"/>
        <v>787.5619999999999</v>
      </c>
      <c r="FA68" s="125">
        <f t="shared" si="86"/>
        <v>2391.7690000000002</v>
      </c>
      <c r="FB68" s="125">
        <f t="shared" si="86"/>
        <v>2336.2</v>
      </c>
      <c r="FC68" s="125">
        <f t="shared" si="86"/>
        <v>2636.406</v>
      </c>
      <c r="FD68" s="125">
        <f t="shared" si="86"/>
        <v>1797.7259999999999</v>
      </c>
      <c r="FE68" s="125">
        <f t="shared" si="86"/>
        <v>2466.009</v>
      </c>
      <c r="FF68" s="125">
        <f t="shared" si="86"/>
        <v>33835.185000000005</v>
      </c>
      <c r="FG68" s="125">
        <f t="shared" si="86"/>
        <v>226.765</v>
      </c>
      <c r="FH68" s="125">
        <f t="shared" si="86"/>
        <v>461.614</v>
      </c>
      <c r="FI68" s="125">
        <f t="shared" si="86"/>
        <v>878.366</v>
      </c>
      <c r="FJ68" s="125">
        <f t="shared" si="86"/>
        <v>458.62</v>
      </c>
      <c r="FK68" s="125">
        <f t="shared" si="86"/>
        <v>3919.888</v>
      </c>
      <c r="FL68" s="125">
        <f t="shared" si="86"/>
        <v>422.8</v>
      </c>
      <c r="FM68" s="125">
        <f t="shared" si="86"/>
        <v>580.446</v>
      </c>
      <c r="FN68" s="125">
        <f t="shared" si="86"/>
        <v>2276.091</v>
      </c>
      <c r="FO68" s="125">
        <f t="shared" si="86"/>
        <v>416.446</v>
      </c>
      <c r="FP68" s="125">
        <f t="shared" si="86"/>
        <v>571.1</v>
      </c>
      <c r="FQ68" s="125">
        <f t="shared" si="86"/>
        <v>905.149</v>
      </c>
      <c r="FR68" s="125">
        <f t="shared" si="86"/>
        <v>2549.8999999999996</v>
      </c>
      <c r="FS68" s="125">
        <f t="shared" si="86"/>
        <v>13667.185</v>
      </c>
      <c r="FT68" s="125">
        <f t="shared" si="86"/>
        <v>461.614</v>
      </c>
      <c r="FU68" s="125">
        <f t="shared" si="86"/>
        <v>1812.752</v>
      </c>
      <c r="FV68" s="125">
        <f t="shared" si="86"/>
        <v>2050.129</v>
      </c>
      <c r="FW68" s="125">
        <f t="shared" si="86"/>
        <v>1378.9279999999999</v>
      </c>
      <c r="FX68" s="125">
        <f t="shared" si="86"/>
        <v>1266.0149999999999</v>
      </c>
      <c r="FY68" s="125">
        <f t="shared" si="86"/>
        <v>1587.399</v>
      </c>
      <c r="FZ68" s="125">
        <f t="shared" si="86"/>
        <v>841.094</v>
      </c>
      <c r="GA68" s="125">
        <f t="shared" si="86"/>
        <v>458.796</v>
      </c>
      <c r="GB68" s="125">
        <f t="shared" si="86"/>
        <v>409.037</v>
      </c>
      <c r="GC68" s="125">
        <f t="shared" si="86"/>
        <v>1260.6779999999999</v>
      </c>
      <c r="GD68" s="125">
        <f t="shared" si="86"/>
        <v>2683.739</v>
      </c>
      <c r="GE68" s="125">
        <f t="shared" si="86"/>
        <v>479.017</v>
      </c>
      <c r="GF68" s="125">
        <f t="shared" si="86"/>
        <v>468.37399999999997</v>
      </c>
      <c r="GG68" s="125">
        <f t="shared" si="86"/>
        <v>14695.958</v>
      </c>
      <c r="GH68" s="125">
        <f t="shared" si="86"/>
        <v>894.972</v>
      </c>
      <c r="GI68" s="125">
        <f t="shared" si="86"/>
        <v>2179.7980000000002</v>
      </c>
      <c r="GJ68" s="125">
        <f t="shared" si="86"/>
        <v>257.668</v>
      </c>
      <c r="GK68" s="125">
        <f t="shared" si="86"/>
        <v>2373.019</v>
      </c>
      <c r="GL68" s="125">
        <f t="shared" si="86"/>
        <v>583.416</v>
      </c>
      <c r="GM68" s="125">
        <f t="shared" si="86"/>
        <v>590.1020000000001</v>
      </c>
      <c r="GN68" s="125">
        <f t="shared" si="86"/>
        <v>2551.234</v>
      </c>
      <c r="GO68" s="125">
        <f t="shared" si="86"/>
        <v>3111.834</v>
      </c>
      <c r="GP68" s="125">
        <f t="shared" si="86"/>
        <v>203.442</v>
      </c>
      <c r="GQ68" s="125">
        <f t="shared" si="86"/>
        <v>1431.535</v>
      </c>
      <c r="GR68" s="125">
        <f t="shared" si="86"/>
        <v>543.375</v>
      </c>
      <c r="GS68" s="125">
        <f t="shared" si="86"/>
        <v>631.9549999999999</v>
      </c>
      <c r="GT68" s="125">
        <f t="shared" si="86"/>
        <v>260.89</v>
      </c>
      <c r="GU68" s="125">
        <f t="shared" si="86"/>
        <v>251.624</v>
      </c>
      <c r="GV68" s="125">
        <f t="shared" si="86"/>
        <v>222.029</v>
      </c>
      <c r="GW68" s="125">
        <f t="shared" si="86"/>
        <v>417.72</v>
      </c>
      <c r="GX68" s="125">
        <f t="shared" si="86"/>
        <v>410.37899999999996</v>
      </c>
      <c r="GY68" s="125">
        <f t="shared" si="86"/>
        <v>248.429</v>
      </c>
      <c r="GZ68" s="125">
        <f t="shared" si="86"/>
        <v>229.23399999999998</v>
      </c>
      <c r="HA68" s="125">
        <f t="shared" si="86"/>
        <v>2293.0799999999995</v>
      </c>
      <c r="HB68" s="125">
        <f t="shared" si="86"/>
        <v>3677.099</v>
      </c>
      <c r="HC68" s="125">
        <f t="shared" si="86"/>
        <v>702.548</v>
      </c>
      <c r="HD68" s="125">
        <f>SUM(HD70:HD72)</f>
        <v>600.497</v>
      </c>
      <c r="HE68" s="125">
        <f aca="true" t="shared" si="87" ref="HE68:ID68">SUM(HE70:HE72)</f>
        <v>408.19700000000006</v>
      </c>
      <c r="HF68" s="125">
        <f t="shared" si="87"/>
        <v>2479.501</v>
      </c>
      <c r="HG68" s="125">
        <f t="shared" si="87"/>
        <v>1065.936</v>
      </c>
      <c r="HH68" s="125">
        <f t="shared" si="87"/>
        <v>2126.5860000000002</v>
      </c>
      <c r="HI68" s="125">
        <f t="shared" si="87"/>
        <v>3233.5959999999995</v>
      </c>
      <c r="HJ68" s="125">
        <f t="shared" si="87"/>
        <v>291.06899999999996</v>
      </c>
      <c r="HK68" s="125">
        <f t="shared" si="87"/>
        <v>943.305</v>
      </c>
      <c r="HL68" s="125">
        <f t="shared" si="87"/>
        <v>6422.867</v>
      </c>
      <c r="HM68" s="125">
        <f t="shared" si="87"/>
        <v>3758.648</v>
      </c>
      <c r="HN68" s="125">
        <f t="shared" si="87"/>
        <v>2238.4809999999998</v>
      </c>
      <c r="HO68" s="125">
        <f t="shared" si="87"/>
        <v>2680.507</v>
      </c>
      <c r="HP68" s="125">
        <f t="shared" si="87"/>
        <v>712.019</v>
      </c>
      <c r="HQ68" s="125">
        <f t="shared" si="87"/>
        <v>407.989</v>
      </c>
      <c r="HR68" s="125">
        <f t="shared" si="87"/>
        <v>3214.227</v>
      </c>
      <c r="HS68" s="125">
        <f t="shared" si="87"/>
        <v>2872.764</v>
      </c>
      <c r="HT68" s="125">
        <f t="shared" si="87"/>
        <v>1881.585</v>
      </c>
      <c r="HU68" s="125">
        <f t="shared" si="87"/>
        <v>203.51100000000002</v>
      </c>
      <c r="HV68" s="125">
        <f t="shared" si="87"/>
        <v>0</v>
      </c>
      <c r="HW68" s="125">
        <f t="shared" si="87"/>
        <v>0</v>
      </c>
      <c r="HX68" s="125">
        <f t="shared" si="87"/>
        <v>0</v>
      </c>
      <c r="HY68" s="125">
        <f t="shared" si="87"/>
        <v>0</v>
      </c>
      <c r="HZ68" s="125">
        <f t="shared" si="87"/>
        <v>0</v>
      </c>
      <c r="IA68" s="125">
        <f t="shared" si="87"/>
        <v>0</v>
      </c>
      <c r="IB68" s="125">
        <f t="shared" si="87"/>
        <v>0</v>
      </c>
      <c r="IC68" s="125">
        <f t="shared" si="87"/>
        <v>0</v>
      </c>
      <c r="ID68" s="125">
        <f t="shared" si="87"/>
        <v>8905.619</v>
      </c>
      <c r="IE68" s="125">
        <f>SUM(IE70:IE72)</f>
        <v>8172.0869999999995</v>
      </c>
    </row>
    <row r="69" spans="1:239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50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47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5"/>
      <c r="IE69" s="125"/>
    </row>
    <row r="70" spans="1:239" ht="15.75">
      <c r="A70" s="131" t="s">
        <v>82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8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8787.544999999998</v>
      </c>
      <c r="DG70" s="123">
        <v>84</v>
      </c>
      <c r="DH70" s="123">
        <v>444.1</v>
      </c>
      <c r="DI70" s="123">
        <v>448</v>
      </c>
      <c r="DJ70" s="123">
        <v>473.2</v>
      </c>
      <c r="DK70" s="123">
        <v>575.6</v>
      </c>
      <c r="DL70" s="123">
        <v>596.3</v>
      </c>
      <c r="DM70" s="123">
        <v>598.1</v>
      </c>
      <c r="DN70" s="123">
        <v>690.3</v>
      </c>
      <c r="DO70" s="123">
        <v>4283.1</v>
      </c>
      <c r="DP70" s="123">
        <v>4933.1</v>
      </c>
      <c r="DQ70" s="123">
        <v>4943.1</v>
      </c>
      <c r="DR70" s="123">
        <v>62</v>
      </c>
      <c r="DS70" s="123">
        <f>DQ70+DR70</f>
        <v>5005.1</v>
      </c>
      <c r="DT70" s="123">
        <v>2528</v>
      </c>
      <c r="DU70" s="123">
        <v>299.7</v>
      </c>
      <c r="DV70" s="123">
        <v>142</v>
      </c>
      <c r="DW70" s="123">
        <v>64</v>
      </c>
      <c r="DX70" s="123">
        <f>'[1]Feuil2'!$D$17</f>
        <v>12.849</v>
      </c>
      <c r="DY70" s="123">
        <f>'[2]Feuil3'!$E$16</f>
        <v>50.931</v>
      </c>
      <c r="DZ70" s="123">
        <v>67</v>
      </c>
      <c r="EA70" s="123">
        <v>225</v>
      </c>
      <c r="EB70" s="123">
        <v>183.556</v>
      </c>
      <c r="EC70" s="123">
        <v>411.162</v>
      </c>
      <c r="ED70" s="123">
        <v>1036</v>
      </c>
      <c r="EE70" s="123">
        <v>961</v>
      </c>
      <c r="EF70" s="150">
        <f>SUM(DT70:EE70)</f>
        <v>5981.198</v>
      </c>
      <c r="EG70" s="123">
        <v>201</v>
      </c>
      <c r="EH70" s="123">
        <v>201</v>
      </c>
      <c r="EI70" s="123">
        <v>163</v>
      </c>
      <c r="EJ70" s="123">
        <f>'[3]avril pays'!$C$17</f>
        <v>363.612</v>
      </c>
      <c r="EK70" s="123">
        <v>1383.9</v>
      </c>
      <c r="EL70" s="123">
        <v>1121.7</v>
      </c>
      <c r="EM70" s="123">
        <v>246</v>
      </c>
      <c r="EN70" s="123">
        <v>893.28</v>
      </c>
      <c r="EO70" s="123">
        <v>3393.657</v>
      </c>
      <c r="EP70" s="123">
        <v>4185.977</v>
      </c>
      <c r="EQ70" s="123">
        <v>2993.6</v>
      </c>
      <c r="ER70" s="123">
        <v>3895.2</v>
      </c>
      <c r="ES70" s="123">
        <f>SUM(EG70:ER70)</f>
        <v>19041.926</v>
      </c>
      <c r="ET70" s="123">
        <v>1701.4</v>
      </c>
      <c r="EU70" s="123">
        <v>4065.502</v>
      </c>
      <c r="EV70" s="123">
        <f>'[4]IV5-IV6'!$D$20</f>
        <v>162.611</v>
      </c>
      <c r="EW70" s="123">
        <v>540.8</v>
      </c>
      <c r="EX70" s="123">
        <v>3386.3</v>
      </c>
      <c r="EY70" s="123">
        <v>1057.1</v>
      </c>
      <c r="EZ70" s="123">
        <v>273.712</v>
      </c>
      <c r="FA70" s="123">
        <v>2178.906</v>
      </c>
      <c r="FB70" s="123">
        <v>2232.9</v>
      </c>
      <c r="FC70" s="123">
        <v>2419.754</v>
      </c>
      <c r="FD70" s="123">
        <v>1383.093</v>
      </c>
      <c r="FE70" s="123">
        <v>320.004</v>
      </c>
      <c r="FF70" s="123">
        <f>SUM(ET70:FE70)</f>
        <v>19722.082000000002</v>
      </c>
      <c r="FG70" s="123">
        <v>70.427</v>
      </c>
      <c r="FH70" s="123">
        <v>396.388</v>
      </c>
      <c r="FI70" s="123">
        <v>830.932</v>
      </c>
      <c r="FJ70" s="123">
        <f>'[5]IV5-IV6'!$C$25</f>
        <v>394.198</v>
      </c>
      <c r="FK70" s="123">
        <v>3821.427</v>
      </c>
      <c r="FL70" s="123">
        <v>332.5</v>
      </c>
      <c r="FM70" s="123">
        <v>390.814</v>
      </c>
      <c r="FN70" s="123">
        <v>1320.778</v>
      </c>
      <c r="FO70" s="123">
        <v>244.184</v>
      </c>
      <c r="FP70" s="123">
        <v>152.9</v>
      </c>
      <c r="FQ70" s="123">
        <v>398.544</v>
      </c>
      <c r="FR70" s="123">
        <v>175.8</v>
      </c>
      <c r="FS70" s="123">
        <f>+FG70+FH70+FI70+FJ70+FK70+FL70+FM70+FN70+FO70+FP70+FQ70+FR70</f>
        <v>8528.892</v>
      </c>
      <c r="FT70" s="123">
        <v>396.388</v>
      </c>
      <c r="FU70" s="123">
        <v>152.344</v>
      </c>
      <c r="FV70" s="123">
        <v>165.361</v>
      </c>
      <c r="FW70" s="123">
        <v>301.205</v>
      </c>
      <c r="FX70" s="123">
        <v>214.242</v>
      </c>
      <c r="FY70" s="123">
        <v>167.06</v>
      </c>
      <c r="FZ70" s="123">
        <v>121.567</v>
      </c>
      <c r="GA70" s="123">
        <v>245.561</v>
      </c>
      <c r="GB70" s="123">
        <v>118.759</v>
      </c>
      <c r="GC70" s="123">
        <v>269.76</v>
      </c>
      <c r="GD70" s="123">
        <v>135.728</v>
      </c>
      <c r="GE70" s="123">
        <v>276.876</v>
      </c>
      <c r="GF70" s="123">
        <v>247.388</v>
      </c>
      <c r="GG70" s="123">
        <f aca="true" t="shared" si="89" ref="GG70:GG79">SUM(FU70:GF70)</f>
        <v>2415.8509999999997</v>
      </c>
      <c r="GH70" s="123">
        <v>369.043</v>
      </c>
      <c r="GI70" s="123">
        <v>591.897</v>
      </c>
      <c r="GJ70" s="123">
        <v>130.323</v>
      </c>
      <c r="GK70" s="123">
        <v>194.057</v>
      </c>
      <c r="GL70" s="123">
        <v>184.889</v>
      </c>
      <c r="GM70" s="123">
        <v>177.082</v>
      </c>
      <c r="GN70" s="123">
        <v>148.705</v>
      </c>
      <c r="GO70" s="123">
        <v>111.395</v>
      </c>
      <c r="GP70" s="123">
        <v>139.04</v>
      </c>
      <c r="GQ70" s="123">
        <v>1322.208</v>
      </c>
      <c r="GR70" s="123">
        <v>490.602</v>
      </c>
      <c r="GS70" s="123">
        <v>599.161</v>
      </c>
      <c r="GT70" s="123">
        <v>162.921</v>
      </c>
      <c r="GU70" s="123">
        <v>246.957</v>
      </c>
      <c r="GV70" s="123">
        <v>165.672</v>
      </c>
      <c r="GW70" s="123">
        <v>314.613</v>
      </c>
      <c r="GX70" s="123">
        <v>291.655</v>
      </c>
      <c r="GY70" s="123">
        <v>156.796</v>
      </c>
      <c r="GZ70" s="123">
        <v>171.381</v>
      </c>
      <c r="HA70" s="123">
        <v>218.066</v>
      </c>
      <c r="HB70" s="123">
        <v>3235.141</v>
      </c>
      <c r="HC70" s="123">
        <v>651.06</v>
      </c>
      <c r="HD70" s="123">
        <v>510.569</v>
      </c>
      <c r="HE70" s="123">
        <v>295.526</v>
      </c>
      <c r="HF70" s="123">
        <v>390.691</v>
      </c>
      <c r="HG70" s="123">
        <v>997.036</v>
      </c>
      <c r="HH70" s="123">
        <v>1006.336</v>
      </c>
      <c r="HI70" s="123">
        <v>82.405</v>
      </c>
      <c r="HJ70" s="123">
        <v>158.378</v>
      </c>
      <c r="HK70" s="123">
        <v>237.054</v>
      </c>
      <c r="HL70" s="123">
        <v>1425.619</v>
      </c>
      <c r="HM70" s="123">
        <v>688.637</v>
      </c>
      <c r="HN70" s="123">
        <v>1116.084</v>
      </c>
      <c r="HO70" s="123">
        <v>1908.146</v>
      </c>
      <c r="HP70" s="123">
        <v>524.949</v>
      </c>
      <c r="HQ70" s="123">
        <v>252.21</v>
      </c>
      <c r="HR70" s="123">
        <v>1109.734</v>
      </c>
      <c r="HS70" s="123">
        <v>2699.458</v>
      </c>
      <c r="HT70" s="123">
        <v>697.469</v>
      </c>
      <c r="HU70" s="123">
        <v>118.905</v>
      </c>
      <c r="HV70" s="123"/>
      <c r="HW70" s="123"/>
      <c r="HX70" s="123"/>
      <c r="HY70" s="123"/>
      <c r="HZ70" s="123"/>
      <c r="IA70" s="123"/>
      <c r="IB70" s="123"/>
      <c r="IC70" s="123"/>
      <c r="ID70" s="150">
        <f>HF70+HG70+HH70+HI70</f>
        <v>2476.4680000000003</v>
      </c>
      <c r="IE70" s="150">
        <f>HR70+HS70+HT70+HU70</f>
        <v>4625.566</v>
      </c>
    </row>
    <row r="71" spans="1:239" ht="15.75">
      <c r="A71" s="131" t="s">
        <v>83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8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5699.268</v>
      </c>
      <c r="DG71" s="123">
        <v>262</v>
      </c>
      <c r="DH71" s="123">
        <v>3104.9</v>
      </c>
      <c r="DI71" s="123">
        <v>3196.7</v>
      </c>
      <c r="DJ71" s="123">
        <v>3379.8</v>
      </c>
      <c r="DK71" s="123">
        <v>3459.3</v>
      </c>
      <c r="DL71" s="123">
        <v>3523</v>
      </c>
      <c r="DM71" s="123">
        <v>3625.4</v>
      </c>
      <c r="DN71" s="123">
        <v>3845.2</v>
      </c>
      <c r="DO71" s="123">
        <v>6517.3</v>
      </c>
      <c r="DP71" s="123">
        <v>6529.3</v>
      </c>
      <c r="DQ71" s="123">
        <v>6551.3</v>
      </c>
      <c r="DR71" s="123"/>
      <c r="DS71" s="123">
        <f>DQ71+DR71</f>
        <v>6551.3</v>
      </c>
      <c r="DT71" s="123">
        <f>106-17</f>
        <v>89</v>
      </c>
      <c r="DU71" s="123"/>
      <c r="DV71" s="123">
        <v>124</v>
      </c>
      <c r="DW71" s="123">
        <v>49</v>
      </c>
      <c r="DX71" s="123">
        <f>'[1]Feuil2'!$D$10</f>
        <v>82.088</v>
      </c>
      <c r="DY71" s="123">
        <f>'[2]Feuil3'!$E$8</f>
        <v>80.994</v>
      </c>
      <c r="DZ71" s="123">
        <v>91</v>
      </c>
      <c r="EA71" s="123">
        <v>183</v>
      </c>
      <c r="EB71" s="123">
        <v>164.78</v>
      </c>
      <c r="EC71" s="123">
        <v>217.35</v>
      </c>
      <c r="ED71" s="123">
        <v>159</v>
      </c>
      <c r="EE71" s="123">
        <v>180</v>
      </c>
      <c r="EF71" s="150">
        <f>SUM(DT71:EE71)</f>
        <v>1420.212</v>
      </c>
      <c r="EG71" s="123">
        <v>39</v>
      </c>
      <c r="EH71" s="123">
        <v>112</v>
      </c>
      <c r="EI71" s="123">
        <v>141</v>
      </c>
      <c r="EJ71" s="123">
        <f>'[3]avril pays'!$C$10</f>
        <v>154.205</v>
      </c>
      <c r="EK71" s="123">
        <v>109.8</v>
      </c>
      <c r="EL71" s="123">
        <v>99.3</v>
      </c>
      <c r="EM71" s="123">
        <v>102</v>
      </c>
      <c r="EN71" s="123">
        <v>43.06</v>
      </c>
      <c r="EO71" s="123">
        <v>72.528</v>
      </c>
      <c r="EP71" s="123">
        <v>154.218</v>
      </c>
      <c r="EQ71" s="123">
        <v>255.9</v>
      </c>
      <c r="ER71" s="123">
        <v>122.4</v>
      </c>
      <c r="ES71" s="123">
        <f>SUM(EG71:ER71)</f>
        <v>1405.4110000000003</v>
      </c>
      <c r="ET71" s="123">
        <v>95.3</v>
      </c>
      <c r="EU71" s="123">
        <v>94.047</v>
      </c>
      <c r="EV71" s="123">
        <f>'[4]IV5-IV6'!$D$12</f>
        <v>141.348</v>
      </c>
      <c r="EW71" s="123">
        <v>2402.6</v>
      </c>
      <c r="EX71" s="123">
        <v>307.065</v>
      </c>
      <c r="EY71" s="123">
        <v>1606.5</v>
      </c>
      <c r="EZ71" s="123">
        <v>511.984</v>
      </c>
      <c r="FA71" s="123">
        <v>211.38</v>
      </c>
      <c r="FB71" s="123">
        <v>101.6</v>
      </c>
      <c r="FC71" s="123">
        <v>216.652</v>
      </c>
      <c r="FD71" s="123">
        <v>414.052</v>
      </c>
      <c r="FE71" s="147">
        <v>2143.925</v>
      </c>
      <c r="FF71" s="123">
        <f>SUM(ET71:FE71)</f>
        <v>8246.453000000001</v>
      </c>
      <c r="FG71" s="123">
        <v>147.898</v>
      </c>
      <c r="FH71" s="123">
        <v>42.864</v>
      </c>
      <c r="FI71" s="123">
        <v>43.929</v>
      </c>
      <c r="FJ71" s="123">
        <f>'[5]IV5-IV6'!$C$24</f>
        <v>30.418</v>
      </c>
      <c r="FK71" s="123">
        <v>95.073</v>
      </c>
      <c r="FL71" s="123">
        <v>58.1</v>
      </c>
      <c r="FM71" s="123">
        <v>169.514</v>
      </c>
      <c r="FN71" s="123">
        <v>955.313</v>
      </c>
      <c r="FO71" s="123">
        <v>165.94</v>
      </c>
      <c r="FP71" s="123">
        <v>404.8</v>
      </c>
      <c r="FQ71" s="123">
        <v>449.039</v>
      </c>
      <c r="FR71" s="123">
        <v>1459.1</v>
      </c>
      <c r="FS71" s="123">
        <f>+FG71+FH71+FI71+FJ71+FK71+FL71+FM71+FN71+FO71+FP71+FQ71+FR71</f>
        <v>4021.988</v>
      </c>
      <c r="FT71" s="123">
        <v>42.864</v>
      </c>
      <c r="FU71" s="123">
        <v>1559.908</v>
      </c>
      <c r="FV71" s="123">
        <v>1882.047</v>
      </c>
      <c r="FW71" s="123">
        <v>751.038</v>
      </c>
      <c r="FX71" s="123">
        <v>350.406</v>
      </c>
      <c r="FY71" s="123">
        <v>915.855</v>
      </c>
      <c r="FZ71" s="123">
        <v>213.701</v>
      </c>
      <c r="GA71" s="123">
        <v>210.734</v>
      </c>
      <c r="GB71" s="123">
        <v>256.275</v>
      </c>
      <c r="GC71" s="123">
        <v>951.665</v>
      </c>
      <c r="GD71" s="123">
        <v>2537.034</v>
      </c>
      <c r="GE71" s="123">
        <v>201.931</v>
      </c>
      <c r="GF71" s="123">
        <v>216.057</v>
      </c>
      <c r="GG71" s="123">
        <f t="shared" si="89"/>
        <v>10046.651000000002</v>
      </c>
      <c r="GH71" s="123">
        <v>272.215</v>
      </c>
      <c r="GI71" s="123">
        <v>1516.894</v>
      </c>
      <c r="GJ71" s="123">
        <v>120.717</v>
      </c>
      <c r="GK71" s="123">
        <v>2122.992</v>
      </c>
      <c r="GL71" s="123">
        <v>376.595</v>
      </c>
      <c r="GM71" s="123">
        <v>412.82</v>
      </c>
      <c r="GN71" s="123">
        <v>2402.248</v>
      </c>
      <c r="GO71" s="123">
        <v>3000.141</v>
      </c>
      <c r="GP71" s="123">
        <v>64.282</v>
      </c>
      <c r="GQ71" s="123">
        <v>106.177</v>
      </c>
      <c r="GR71" s="123">
        <v>50.743</v>
      </c>
      <c r="GS71" s="123">
        <v>32.032</v>
      </c>
      <c r="GT71" s="123">
        <v>73.504</v>
      </c>
      <c r="GU71" s="123">
        <v>4.251</v>
      </c>
      <c r="GV71" s="123">
        <v>55.357</v>
      </c>
      <c r="GW71" s="123">
        <v>95.358</v>
      </c>
      <c r="GX71" s="123">
        <v>115.704</v>
      </c>
      <c r="GY71" s="123">
        <v>82.119</v>
      </c>
      <c r="GZ71" s="123">
        <v>57.272</v>
      </c>
      <c r="HA71" s="123">
        <v>2062.803</v>
      </c>
      <c r="HB71" s="123">
        <v>121.505</v>
      </c>
      <c r="HC71" s="123">
        <v>42.128</v>
      </c>
      <c r="HD71" s="123">
        <v>82.336</v>
      </c>
      <c r="HE71" s="123">
        <v>112.4</v>
      </c>
      <c r="HF71" s="123">
        <v>88.764</v>
      </c>
      <c r="HG71" s="123">
        <v>40.48</v>
      </c>
      <c r="HH71" s="123">
        <v>8.513</v>
      </c>
      <c r="HI71" s="123">
        <v>1064.312</v>
      </c>
      <c r="HJ71" s="123">
        <v>117.08</v>
      </c>
      <c r="HK71" s="123">
        <v>700.674</v>
      </c>
      <c r="HL71" s="123">
        <v>674.548</v>
      </c>
      <c r="HM71" s="123">
        <v>2235.994</v>
      </c>
      <c r="HN71" s="123">
        <v>197.397</v>
      </c>
      <c r="HO71" s="123">
        <v>284.48</v>
      </c>
      <c r="HP71" s="123">
        <v>132.153</v>
      </c>
      <c r="HQ71" s="123">
        <v>154.873</v>
      </c>
      <c r="HR71" s="123">
        <v>94.423</v>
      </c>
      <c r="HS71" s="123">
        <v>118.166</v>
      </c>
      <c r="HT71" s="123">
        <v>1156.111</v>
      </c>
      <c r="HU71" s="123">
        <v>66.496</v>
      </c>
      <c r="HV71" s="123"/>
      <c r="HW71" s="123"/>
      <c r="HX71" s="123"/>
      <c r="HY71" s="123"/>
      <c r="HZ71" s="123"/>
      <c r="IA71" s="123"/>
      <c r="IB71" s="123"/>
      <c r="IC71" s="123"/>
      <c r="ID71" s="150">
        <f>HF71+HG71+HH71+HI71</f>
        <v>1202.069</v>
      </c>
      <c r="IE71" s="150">
        <f>HR71+HS71+HT71+HU71</f>
        <v>1435.1960000000001</v>
      </c>
    </row>
    <row r="72" spans="1:239" ht="15.75">
      <c r="A72" s="131" t="s">
        <v>84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8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11873.691</v>
      </c>
      <c r="DG72" s="123">
        <v>12.9</v>
      </c>
      <c r="DH72" s="123">
        <v>25.8</v>
      </c>
      <c r="DI72" s="123">
        <v>37.3</v>
      </c>
      <c r="DJ72" s="123">
        <v>50.6</v>
      </c>
      <c r="DK72" s="123">
        <v>85</v>
      </c>
      <c r="DL72" s="123">
        <v>94.2</v>
      </c>
      <c r="DM72" s="123">
        <v>95.7</v>
      </c>
      <c r="DN72" s="123">
        <v>96.7</v>
      </c>
      <c r="DO72" s="123">
        <v>98.7</v>
      </c>
      <c r="DP72" s="123">
        <v>99.1</v>
      </c>
      <c r="DQ72" s="123">
        <v>99.1</v>
      </c>
      <c r="DR72" s="123">
        <f>2</f>
        <v>2</v>
      </c>
      <c r="DS72" s="123">
        <f>DQ72+DR72</f>
        <v>101.1</v>
      </c>
      <c r="DT72" s="123">
        <v>44</v>
      </c>
      <c r="DU72" s="123">
        <v>11.3</v>
      </c>
      <c r="DV72" s="123">
        <f>4</f>
        <v>4</v>
      </c>
      <c r="DW72" s="123">
        <f>1+2</f>
        <v>3</v>
      </c>
      <c r="DX72" s="123">
        <v>0</v>
      </c>
      <c r="DY72" s="123">
        <f>'[2]Feuil3'!$E$19</f>
        <v>1</v>
      </c>
      <c r="DZ72" s="123">
        <f>0.2</f>
        <v>0.2</v>
      </c>
      <c r="EA72" s="123">
        <v>2</v>
      </c>
      <c r="EB72" s="123">
        <v>14</v>
      </c>
      <c r="EC72" s="123">
        <v>101.9</v>
      </c>
      <c r="ED72" s="123">
        <f>27+0.79</f>
        <v>27.79</v>
      </c>
      <c r="EE72" s="123">
        <f>11</f>
        <v>11</v>
      </c>
      <c r="EF72" s="150">
        <f>SUM(DT72:EE72)</f>
        <v>220.19</v>
      </c>
      <c r="EG72" s="123">
        <f>0.1+6</f>
        <v>6.1</v>
      </c>
      <c r="EH72" s="123">
        <f>2+15+4+1</f>
        <v>22</v>
      </c>
      <c r="EI72" s="123">
        <v>0</v>
      </c>
      <c r="EJ72" s="123">
        <f>'[3]avril pays'!$C$38+'[3]avril pays'!$C$8</f>
        <v>19.582</v>
      </c>
      <c r="EK72" s="123">
        <f>30+9</f>
        <v>39</v>
      </c>
      <c r="EL72" s="123">
        <f>6.2+13.2</f>
        <v>19.4</v>
      </c>
      <c r="EM72" s="123">
        <f>8.2+0.7</f>
        <v>8.899999999999999</v>
      </c>
      <c r="EN72" s="123">
        <f>3.67</f>
        <v>3.67</v>
      </c>
      <c r="EO72" s="123">
        <v>153.27</v>
      </c>
      <c r="EP72" s="123">
        <v>31.969</v>
      </c>
      <c r="EQ72" s="123">
        <v>2674</v>
      </c>
      <c r="ER72" s="123">
        <f>4210+0.2+3+30</f>
        <v>4243.2</v>
      </c>
      <c r="ES72" s="123">
        <f>SUM(EG72:ER72)</f>
        <v>7221.091</v>
      </c>
      <c r="ET72" s="123">
        <v>28.1</v>
      </c>
      <c r="EU72" s="123">
        <v>875.316</v>
      </c>
      <c r="EV72" s="123">
        <v>0</v>
      </c>
      <c r="EW72" s="123">
        <f>2881.25+405.62+33.29+0.02+3</f>
        <v>3323.18</v>
      </c>
      <c r="EX72" s="123">
        <f>1247+0.344</f>
        <v>1247.344</v>
      </c>
      <c r="EY72" s="123">
        <f>384.8+0.2</f>
        <v>385</v>
      </c>
      <c r="EZ72" s="123">
        <v>1.8659999999999999</v>
      </c>
      <c r="FA72" s="123">
        <v>1.4829999999999999</v>
      </c>
      <c r="FB72" s="123">
        <f>1.7</f>
        <v>1.7</v>
      </c>
      <c r="FC72" s="123">
        <v>0</v>
      </c>
      <c r="FD72" s="123">
        <v>0.581</v>
      </c>
      <c r="FE72" s="123">
        <v>2.08</v>
      </c>
      <c r="FF72" s="123">
        <f>SUM(ET72:FE72)</f>
        <v>5866.65</v>
      </c>
      <c r="FG72" s="123">
        <v>8.44</v>
      </c>
      <c r="FH72" s="123">
        <v>22.362</v>
      </c>
      <c r="FI72" s="123">
        <v>3.505</v>
      </c>
      <c r="FJ72" s="123">
        <f>'[5]IV5-IV6'!$C$23</f>
        <v>34.004</v>
      </c>
      <c r="FK72" s="123">
        <v>3.388</v>
      </c>
      <c r="FL72" s="123">
        <f>0.3+31.9</f>
        <v>32.199999999999996</v>
      </c>
      <c r="FM72" s="123">
        <v>20.118000000000002</v>
      </c>
      <c r="FN72" s="123">
        <v>0</v>
      </c>
      <c r="FO72" s="123">
        <v>6.322000000000003</v>
      </c>
      <c r="FP72" s="123">
        <f>13.4</f>
        <v>13.4</v>
      </c>
      <c r="FQ72" s="123">
        <v>57.565999999999995</v>
      </c>
      <c r="FR72" s="123">
        <v>915</v>
      </c>
      <c r="FS72" s="123">
        <f>+FG72+FH72+FI72+FJ72+FK72+FL72+FM72+FN72+FO72+FP72+FQ72+FR72</f>
        <v>1116.305</v>
      </c>
      <c r="FT72" s="123">
        <v>22.362</v>
      </c>
      <c r="FU72" s="123">
        <v>100.50000000000001</v>
      </c>
      <c r="FV72" s="123">
        <v>2.721</v>
      </c>
      <c r="FW72" s="123">
        <v>326.685</v>
      </c>
      <c r="FX72" s="123">
        <v>701.367</v>
      </c>
      <c r="FY72" s="123">
        <v>504.484</v>
      </c>
      <c r="FZ72" s="123">
        <v>505.826</v>
      </c>
      <c r="GA72" s="123">
        <v>2.501</v>
      </c>
      <c r="GB72" s="123">
        <v>34.003</v>
      </c>
      <c r="GC72" s="123">
        <v>39.253</v>
      </c>
      <c r="GD72" s="123">
        <v>10.977</v>
      </c>
      <c r="GE72" s="123">
        <v>0.21</v>
      </c>
      <c r="GF72" s="123">
        <v>4.929</v>
      </c>
      <c r="GG72" s="123">
        <f t="shared" si="89"/>
        <v>2233.456</v>
      </c>
      <c r="GH72" s="123">
        <v>253.714</v>
      </c>
      <c r="GI72" s="123">
        <v>71.007</v>
      </c>
      <c r="GJ72" s="123">
        <v>6.628</v>
      </c>
      <c r="GK72" s="123">
        <v>55.97</v>
      </c>
      <c r="GL72" s="123">
        <v>21.932000000000002</v>
      </c>
      <c r="GM72" s="123">
        <v>0.2</v>
      </c>
      <c r="GN72" s="123">
        <v>0.28099999999999997</v>
      </c>
      <c r="GO72" s="123">
        <v>0.29800000000000004</v>
      </c>
      <c r="GP72" s="123">
        <v>0.12</v>
      </c>
      <c r="GQ72" s="123">
        <v>3.15</v>
      </c>
      <c r="GR72" s="123">
        <v>2.03</v>
      </c>
      <c r="GS72" s="123">
        <v>0.762</v>
      </c>
      <c r="GT72" s="123">
        <v>24.465</v>
      </c>
      <c r="GU72" s="123">
        <v>0.41600000000000004</v>
      </c>
      <c r="GV72" s="123">
        <v>1</v>
      </c>
      <c r="GW72" s="123">
        <v>7.7490000000000006</v>
      </c>
      <c r="GX72" s="123">
        <v>3.02</v>
      </c>
      <c r="GY72" s="123">
        <v>9.514</v>
      </c>
      <c r="GZ72" s="123">
        <v>0.581</v>
      </c>
      <c r="HA72" s="123">
        <v>12.211</v>
      </c>
      <c r="HB72" s="123">
        <v>320.453</v>
      </c>
      <c r="HC72" s="123">
        <v>9.36</v>
      </c>
      <c r="HD72" s="123">
        <v>7.592</v>
      </c>
      <c r="HE72" s="123">
        <v>0.271</v>
      </c>
      <c r="HF72" s="123">
        <v>2000.046</v>
      </c>
      <c r="HG72" s="123">
        <v>28.42</v>
      </c>
      <c r="HH72" s="123">
        <v>1111.737</v>
      </c>
      <c r="HI72" s="123">
        <v>2086.879</v>
      </c>
      <c r="HJ72" s="123">
        <v>15.611</v>
      </c>
      <c r="HK72" s="123">
        <v>5.577000000000001</v>
      </c>
      <c r="HL72" s="123">
        <v>4322.700000000001</v>
      </c>
      <c r="HM72" s="123">
        <v>834.0169999999999</v>
      </c>
      <c r="HN72" s="123">
        <v>925</v>
      </c>
      <c r="HO72" s="123">
        <v>487.88100000000003</v>
      </c>
      <c r="HP72" s="123">
        <v>54.917</v>
      </c>
      <c r="HQ72" s="123">
        <v>0.9059999999999999</v>
      </c>
      <c r="HR72" s="123">
        <v>2010.0700000000002</v>
      </c>
      <c r="HS72" s="123">
        <v>55.14</v>
      </c>
      <c r="HT72" s="123">
        <v>28.004999999999995</v>
      </c>
      <c r="HU72" s="123">
        <v>18.11</v>
      </c>
      <c r="HV72" s="123"/>
      <c r="HW72" s="123"/>
      <c r="HX72" s="123"/>
      <c r="HY72" s="123"/>
      <c r="HZ72" s="123"/>
      <c r="IA72" s="123"/>
      <c r="IB72" s="123"/>
      <c r="IC72" s="123"/>
      <c r="ID72" s="150">
        <f>HF72+HG72+HH72+HI72</f>
        <v>5227.082</v>
      </c>
      <c r="IE72" s="150">
        <f>HR72+HS72+HT72+HU72</f>
        <v>2111.3250000000003</v>
      </c>
    </row>
    <row r="73" spans="1:239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50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47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50"/>
      <c r="IE73" s="150"/>
    </row>
    <row r="74" spans="1:239" ht="15.75">
      <c r="A74" s="130" t="s">
        <v>71</v>
      </c>
      <c r="B74" s="65">
        <f aca="true" t="shared" si="90" ref="B74:K74">SUM(B76)</f>
        <v>16</v>
      </c>
      <c r="C74" s="65">
        <f t="shared" si="90"/>
        <v>14</v>
      </c>
      <c r="D74" s="65">
        <f t="shared" si="90"/>
        <v>119</v>
      </c>
      <c r="E74" s="65">
        <f t="shared" si="90"/>
        <v>148</v>
      </c>
      <c r="F74" s="65">
        <f t="shared" si="90"/>
        <v>38</v>
      </c>
      <c r="G74" s="65">
        <f t="shared" si="90"/>
        <v>16</v>
      </c>
      <c r="H74" s="65">
        <f t="shared" si="90"/>
        <v>2</v>
      </c>
      <c r="I74" s="66">
        <f t="shared" si="90"/>
        <v>1307</v>
      </c>
      <c r="J74" s="65">
        <f t="shared" si="90"/>
        <v>588</v>
      </c>
      <c r="K74" s="65">
        <f t="shared" si="90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91" ref="Q74:AQ74">SUM(Q76)</f>
        <v>0</v>
      </c>
      <c r="R74" s="68">
        <f t="shared" si="91"/>
        <v>0</v>
      </c>
      <c r="S74" s="68">
        <f t="shared" si="91"/>
        <v>0</v>
      </c>
      <c r="T74" s="68">
        <f t="shared" si="91"/>
        <v>1</v>
      </c>
      <c r="U74" s="68">
        <f t="shared" si="91"/>
        <v>0</v>
      </c>
      <c r="V74" s="68">
        <f t="shared" si="91"/>
        <v>0</v>
      </c>
      <c r="W74" s="68">
        <f t="shared" si="91"/>
        <v>0</v>
      </c>
      <c r="X74" s="68">
        <f t="shared" si="91"/>
        <v>39</v>
      </c>
      <c r="Y74" s="68">
        <f t="shared" si="91"/>
        <v>8</v>
      </c>
      <c r="Z74" s="68">
        <f t="shared" si="91"/>
        <v>0</v>
      </c>
      <c r="AA74" s="68">
        <f t="shared" si="91"/>
        <v>117</v>
      </c>
      <c r="AB74" s="68">
        <f t="shared" si="91"/>
        <v>0</v>
      </c>
      <c r="AC74" s="68">
        <f t="shared" si="91"/>
        <v>165</v>
      </c>
      <c r="AD74" s="68">
        <f t="shared" si="91"/>
        <v>20</v>
      </c>
      <c r="AE74" s="68">
        <f t="shared" si="91"/>
        <v>0</v>
      </c>
      <c r="AF74" s="68">
        <f t="shared" si="91"/>
        <v>0</v>
      </c>
      <c r="AG74" s="68">
        <f t="shared" si="91"/>
        <v>0</v>
      </c>
      <c r="AH74" s="68">
        <f t="shared" si="91"/>
        <v>0</v>
      </c>
      <c r="AI74" s="68">
        <f t="shared" si="91"/>
        <v>0</v>
      </c>
      <c r="AJ74" s="68">
        <f t="shared" si="91"/>
        <v>0</v>
      </c>
      <c r="AK74" s="68">
        <f t="shared" si="91"/>
        <v>20</v>
      </c>
      <c r="AL74" s="68">
        <f t="shared" si="91"/>
        <v>0</v>
      </c>
      <c r="AM74" s="68">
        <f t="shared" si="91"/>
        <v>0</v>
      </c>
      <c r="AN74" s="68">
        <f t="shared" si="91"/>
        <v>0</v>
      </c>
      <c r="AO74" s="68">
        <f t="shared" si="91"/>
        <v>0</v>
      </c>
      <c r="AP74" s="68">
        <f t="shared" si="91"/>
        <v>0</v>
      </c>
      <c r="AQ74" s="68">
        <f t="shared" si="91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2" ref="AX74:DF74">SUM(AX76:AX77)</f>
        <v>0</v>
      </c>
      <c r="AY74" s="68">
        <f t="shared" si="92"/>
        <v>0</v>
      </c>
      <c r="AZ74" s="68">
        <f t="shared" si="92"/>
        <v>0</v>
      </c>
      <c r="BA74" s="68">
        <f t="shared" si="92"/>
        <v>0</v>
      </c>
      <c r="BB74" s="68">
        <f t="shared" si="92"/>
        <v>3</v>
      </c>
      <c r="BC74" s="68">
        <f t="shared" si="92"/>
        <v>0</v>
      </c>
      <c r="BD74" s="68">
        <f t="shared" si="92"/>
        <v>0</v>
      </c>
      <c r="BE74" s="68">
        <f t="shared" si="92"/>
        <v>0</v>
      </c>
      <c r="BF74" s="68">
        <f t="shared" si="92"/>
        <v>0</v>
      </c>
      <c r="BG74" s="68">
        <f t="shared" si="92"/>
        <v>0</v>
      </c>
      <c r="BH74" s="68">
        <f t="shared" si="92"/>
        <v>0</v>
      </c>
      <c r="BI74" s="68">
        <f t="shared" si="92"/>
        <v>0</v>
      </c>
      <c r="BJ74" s="68">
        <f t="shared" si="92"/>
        <v>3</v>
      </c>
      <c r="BK74" s="68">
        <f t="shared" si="92"/>
        <v>0</v>
      </c>
      <c r="BL74" s="68">
        <f t="shared" si="92"/>
        <v>0</v>
      </c>
      <c r="BM74" s="68">
        <f t="shared" si="92"/>
        <v>0</v>
      </c>
      <c r="BN74" s="68">
        <f t="shared" si="92"/>
        <v>0</v>
      </c>
      <c r="BO74" s="68">
        <f t="shared" si="92"/>
        <v>0</v>
      </c>
      <c r="BP74" s="68">
        <f t="shared" si="92"/>
        <v>0</v>
      </c>
      <c r="BQ74" s="68">
        <f t="shared" si="92"/>
        <v>23.7</v>
      </c>
      <c r="BR74" s="68">
        <f t="shared" si="92"/>
        <v>0</v>
      </c>
      <c r="BS74" s="68">
        <f t="shared" si="92"/>
        <v>14.1</v>
      </c>
      <c r="BT74" s="68">
        <f t="shared" si="92"/>
        <v>0</v>
      </c>
      <c r="BU74" s="68">
        <f t="shared" si="92"/>
        <v>1.7</v>
      </c>
      <c r="BV74" s="68">
        <f t="shared" si="92"/>
        <v>4</v>
      </c>
      <c r="BW74" s="68">
        <f t="shared" si="92"/>
        <v>43.5</v>
      </c>
      <c r="BX74" s="68">
        <f t="shared" si="92"/>
        <v>0.6</v>
      </c>
      <c r="BY74" s="68">
        <f t="shared" si="92"/>
        <v>13.6</v>
      </c>
      <c r="BZ74" s="68">
        <f t="shared" si="92"/>
        <v>0.4</v>
      </c>
      <c r="CA74" s="68">
        <f t="shared" si="92"/>
        <v>13.500000000000002</v>
      </c>
      <c r="CB74" s="68">
        <f t="shared" si="92"/>
        <v>10.899999999999997</v>
      </c>
      <c r="CC74" s="68">
        <f t="shared" si="92"/>
        <v>71.1</v>
      </c>
      <c r="CD74" s="68">
        <f t="shared" si="92"/>
        <v>3.552713678800501E-15</v>
      </c>
      <c r="CE74" s="68">
        <f t="shared" si="92"/>
        <v>15.700000000000005</v>
      </c>
      <c r="CF74" s="72">
        <f>CS74-CR74</f>
        <v>0</v>
      </c>
      <c r="CG74" s="68">
        <f t="shared" si="92"/>
        <v>5.995204332975845E-15</v>
      </c>
      <c r="CH74" s="68">
        <f t="shared" si="92"/>
        <v>36.500000000000014</v>
      </c>
      <c r="CI74" s="70">
        <f t="shared" si="92"/>
        <v>36.29999999999999</v>
      </c>
      <c r="CJ74" s="68">
        <f>SUM(CJ76:CJ77)</f>
        <v>215</v>
      </c>
      <c r="CK74" s="68">
        <f>SUM(CK76:CK77)</f>
        <v>14.6</v>
      </c>
      <c r="CL74" s="68">
        <f t="shared" si="92"/>
        <v>14.6</v>
      </c>
      <c r="CM74" s="68">
        <f t="shared" si="92"/>
        <v>28.1</v>
      </c>
      <c r="CN74" s="68">
        <f t="shared" si="92"/>
        <v>39</v>
      </c>
      <c r="CO74" s="68">
        <f t="shared" si="92"/>
        <v>110.1</v>
      </c>
      <c r="CP74" s="68">
        <f t="shared" si="92"/>
        <v>110.1</v>
      </c>
      <c r="CQ74" s="68">
        <f t="shared" si="92"/>
        <v>125.8</v>
      </c>
      <c r="CR74" s="68">
        <f t="shared" si="92"/>
        <v>142.2</v>
      </c>
      <c r="CS74" s="68">
        <f t="shared" si="92"/>
        <v>142.2</v>
      </c>
      <c r="CT74" s="68">
        <f t="shared" si="92"/>
        <v>178.7</v>
      </c>
      <c r="CU74" s="68">
        <f t="shared" si="92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2"/>
        <v>10642.828000000001</v>
      </c>
      <c r="DC74" s="125">
        <f t="shared" si="92"/>
        <v>4290.637</v>
      </c>
      <c r="DD74" s="125">
        <f t="shared" si="92"/>
        <v>2330.5190000000007</v>
      </c>
      <c r="DE74" s="125">
        <f t="shared" si="92"/>
        <v>183.894</v>
      </c>
      <c r="DF74" s="125">
        <f t="shared" si="92"/>
        <v>309.44000000000005</v>
      </c>
      <c r="DG74" s="125">
        <f aca="true" t="shared" si="93" ref="DG74:EY74">SUM(DG76:DG77)</f>
        <v>2.6</v>
      </c>
      <c r="DH74" s="125">
        <f t="shared" si="93"/>
        <v>6.2</v>
      </c>
      <c r="DI74" s="125">
        <f t="shared" si="93"/>
        <v>25.400000000000002</v>
      </c>
      <c r="DJ74" s="125">
        <f t="shared" si="93"/>
        <v>25.6</v>
      </c>
      <c r="DK74" s="125">
        <f t="shared" si="93"/>
        <v>26</v>
      </c>
      <c r="DL74" s="125">
        <f t="shared" si="93"/>
        <v>46.4</v>
      </c>
      <c r="DM74" s="125">
        <f t="shared" si="93"/>
        <v>46.4</v>
      </c>
      <c r="DN74" s="125">
        <f t="shared" si="93"/>
        <v>46.4</v>
      </c>
      <c r="DO74" s="125">
        <f t="shared" si="93"/>
        <v>9.4</v>
      </c>
      <c r="DP74" s="125">
        <f t="shared" si="93"/>
        <v>9.4</v>
      </c>
      <c r="DQ74" s="125">
        <f t="shared" si="93"/>
        <v>34.6</v>
      </c>
      <c r="DR74" s="125">
        <f t="shared" si="93"/>
        <v>63</v>
      </c>
      <c r="DS74" s="125">
        <f t="shared" si="93"/>
        <v>97.6</v>
      </c>
      <c r="DT74" s="125">
        <f t="shared" si="93"/>
        <v>32.4</v>
      </c>
      <c r="DU74" s="125">
        <f t="shared" si="93"/>
        <v>4.4</v>
      </c>
      <c r="DV74" s="125">
        <f t="shared" si="93"/>
        <v>1</v>
      </c>
      <c r="DW74" s="125">
        <f t="shared" si="93"/>
        <v>25</v>
      </c>
      <c r="DX74" s="125">
        <f t="shared" si="93"/>
        <v>20.222</v>
      </c>
      <c r="DY74" s="125">
        <f t="shared" si="93"/>
        <v>49.909</v>
      </c>
      <c r="DZ74" s="125">
        <f t="shared" si="93"/>
        <v>52.1</v>
      </c>
      <c r="EA74" s="125">
        <f t="shared" si="93"/>
        <v>52.1</v>
      </c>
      <c r="EB74" s="125">
        <f t="shared" si="93"/>
        <v>46.981</v>
      </c>
      <c r="EC74" s="125">
        <f t="shared" si="93"/>
        <v>141.657</v>
      </c>
      <c r="ED74" s="125">
        <f t="shared" si="93"/>
        <v>122</v>
      </c>
      <c r="EE74" s="125">
        <f t="shared" si="93"/>
        <v>90.2</v>
      </c>
      <c r="EF74" s="125">
        <f t="shared" si="93"/>
        <v>637.969</v>
      </c>
      <c r="EG74" s="125">
        <f t="shared" si="93"/>
        <v>113</v>
      </c>
      <c r="EH74" s="125">
        <f t="shared" si="93"/>
        <v>21.5</v>
      </c>
      <c r="EI74" s="125">
        <f t="shared" si="93"/>
        <v>128</v>
      </c>
      <c r="EJ74" s="125">
        <f t="shared" si="93"/>
        <v>1.762</v>
      </c>
      <c r="EK74" s="125">
        <f t="shared" si="93"/>
        <v>198.20000000000002</v>
      </c>
      <c r="EL74" s="125">
        <f t="shared" si="93"/>
        <v>180.1</v>
      </c>
      <c r="EM74" s="125">
        <f t="shared" si="93"/>
        <v>53.9</v>
      </c>
      <c r="EN74" s="125">
        <f t="shared" si="93"/>
        <v>181.98</v>
      </c>
      <c r="EO74" s="125">
        <f t="shared" si="93"/>
        <v>103.5</v>
      </c>
      <c r="EP74" s="125">
        <f t="shared" si="93"/>
        <v>44.147</v>
      </c>
      <c r="EQ74" s="125">
        <f t="shared" si="93"/>
        <v>110.6</v>
      </c>
      <c r="ER74" s="125">
        <f t="shared" si="93"/>
        <v>68.6</v>
      </c>
      <c r="ES74" s="125">
        <f t="shared" si="93"/>
        <v>1205.2890000000002</v>
      </c>
      <c r="ET74" s="125">
        <f t="shared" si="93"/>
        <v>49.31999999999999</v>
      </c>
      <c r="EU74" s="125">
        <f t="shared" si="93"/>
        <v>32.529</v>
      </c>
      <c r="EV74" s="125">
        <f t="shared" si="93"/>
        <v>127.25200000000001</v>
      </c>
      <c r="EW74" s="125">
        <f t="shared" si="93"/>
        <v>164.11</v>
      </c>
      <c r="EX74" s="125">
        <f t="shared" si="93"/>
        <v>128.6</v>
      </c>
      <c r="EY74" s="125">
        <f t="shared" si="93"/>
        <v>215.1</v>
      </c>
      <c r="EZ74" s="125">
        <f aca="true" t="shared" si="94" ref="EZ74:IE74">SUM(EZ76:EZ77)</f>
        <v>130.502</v>
      </c>
      <c r="FA74" s="125">
        <f t="shared" si="94"/>
        <v>191.702</v>
      </c>
      <c r="FB74" s="125">
        <f t="shared" si="94"/>
        <v>157.9</v>
      </c>
      <c r="FC74" s="125">
        <f t="shared" si="94"/>
        <v>210.856</v>
      </c>
      <c r="FD74" s="125">
        <f t="shared" si="94"/>
        <v>121.585</v>
      </c>
      <c r="FE74" s="125">
        <f t="shared" si="94"/>
        <v>142.394</v>
      </c>
      <c r="FF74" s="125">
        <f t="shared" si="94"/>
        <v>1671.8500000000001</v>
      </c>
      <c r="FG74" s="125">
        <f t="shared" si="94"/>
        <v>380.573</v>
      </c>
      <c r="FH74" s="125">
        <f t="shared" si="94"/>
        <v>19.64</v>
      </c>
      <c r="FI74" s="125">
        <f t="shared" si="94"/>
        <v>18.5</v>
      </c>
      <c r="FJ74" s="125">
        <f t="shared" si="94"/>
        <v>176.11</v>
      </c>
      <c r="FK74" s="125">
        <f t="shared" si="94"/>
        <v>3577.764</v>
      </c>
      <c r="FL74" s="125">
        <f t="shared" si="94"/>
        <v>154.6</v>
      </c>
      <c r="FM74" s="125">
        <f t="shared" si="94"/>
        <v>2684.4440000000004</v>
      </c>
      <c r="FN74" s="125">
        <f t="shared" si="94"/>
        <v>3230.325</v>
      </c>
      <c r="FO74" s="125">
        <f t="shared" si="94"/>
        <v>98.326</v>
      </c>
      <c r="FP74" s="125">
        <f t="shared" si="94"/>
        <v>136.1</v>
      </c>
      <c r="FQ74" s="125">
        <f t="shared" si="94"/>
        <v>92.04599999999999</v>
      </c>
      <c r="FR74" s="125">
        <f t="shared" si="94"/>
        <v>74.4</v>
      </c>
      <c r="FS74" s="125">
        <f t="shared" si="94"/>
        <v>10642.828000000001</v>
      </c>
      <c r="FT74" s="125">
        <f t="shared" si="94"/>
        <v>19.64</v>
      </c>
      <c r="FU74" s="125">
        <f t="shared" si="94"/>
        <v>0.132</v>
      </c>
      <c r="FV74" s="125">
        <f t="shared" si="94"/>
        <v>14</v>
      </c>
      <c r="FW74" s="125">
        <f t="shared" si="94"/>
        <v>862.425</v>
      </c>
      <c r="FX74" s="125">
        <f t="shared" si="94"/>
        <v>1110</v>
      </c>
      <c r="FY74" s="125">
        <f t="shared" si="94"/>
        <v>105.218</v>
      </c>
      <c r="FZ74" s="125">
        <f t="shared" si="94"/>
        <v>367.517</v>
      </c>
      <c r="GA74" s="125">
        <f t="shared" si="94"/>
        <v>704.572</v>
      </c>
      <c r="GB74" s="125">
        <f t="shared" si="94"/>
        <v>0</v>
      </c>
      <c r="GC74" s="125">
        <f t="shared" si="94"/>
        <v>735.738</v>
      </c>
      <c r="GD74" s="125">
        <f t="shared" si="94"/>
        <v>370.93</v>
      </c>
      <c r="GE74" s="125">
        <f t="shared" si="94"/>
        <v>20</v>
      </c>
      <c r="GF74" s="125">
        <f t="shared" si="94"/>
        <v>0.105</v>
      </c>
      <c r="GG74" s="125">
        <f t="shared" si="94"/>
        <v>4290.637</v>
      </c>
      <c r="GH74" s="125">
        <f t="shared" si="94"/>
        <v>0.122</v>
      </c>
      <c r="GI74" s="125">
        <f t="shared" si="94"/>
        <v>41.063</v>
      </c>
      <c r="GJ74" s="125">
        <f t="shared" si="94"/>
        <v>12.826</v>
      </c>
      <c r="GK74" s="125">
        <f t="shared" si="94"/>
        <v>10.3</v>
      </c>
      <c r="GL74" s="125">
        <f t="shared" si="94"/>
        <v>0.052000000000000005</v>
      </c>
      <c r="GM74" s="125">
        <f t="shared" si="94"/>
        <v>2200.065</v>
      </c>
      <c r="GN74" s="125">
        <f t="shared" si="94"/>
        <v>0.007</v>
      </c>
      <c r="GO74" s="125">
        <f t="shared" si="94"/>
        <v>2212.933</v>
      </c>
      <c r="GP74" s="125">
        <f t="shared" si="94"/>
        <v>7.87</v>
      </c>
      <c r="GQ74" s="125">
        <f t="shared" si="94"/>
        <v>0.211</v>
      </c>
      <c r="GR74" s="125">
        <f t="shared" si="94"/>
        <v>19.885</v>
      </c>
      <c r="GS74" s="125">
        <f t="shared" si="94"/>
        <v>0</v>
      </c>
      <c r="GT74" s="125">
        <f t="shared" si="94"/>
        <v>44.873999999999995</v>
      </c>
      <c r="GU74" s="125">
        <f t="shared" si="94"/>
        <v>7.5</v>
      </c>
      <c r="GV74" s="125">
        <f t="shared" si="94"/>
        <v>0</v>
      </c>
      <c r="GW74" s="125">
        <f t="shared" si="94"/>
        <v>47.753</v>
      </c>
      <c r="GX74" s="125">
        <f t="shared" si="94"/>
        <v>0.183</v>
      </c>
      <c r="GY74" s="125">
        <f t="shared" si="94"/>
        <v>0</v>
      </c>
      <c r="GZ74" s="125">
        <f t="shared" si="94"/>
        <v>28.2</v>
      </c>
      <c r="HA74" s="125">
        <f t="shared" si="94"/>
        <v>1.899</v>
      </c>
      <c r="HB74" s="125">
        <f t="shared" si="94"/>
        <v>0.5</v>
      </c>
      <c r="HC74" s="125">
        <f t="shared" si="94"/>
        <v>30.725</v>
      </c>
      <c r="HD74" s="125">
        <f t="shared" si="94"/>
        <v>0</v>
      </c>
      <c r="HE74" s="125">
        <f t="shared" si="94"/>
        <v>22.26</v>
      </c>
      <c r="HF74" s="125">
        <f t="shared" si="94"/>
        <v>0.266</v>
      </c>
      <c r="HG74" s="125">
        <f t="shared" si="94"/>
        <v>22.493</v>
      </c>
      <c r="HH74" s="125">
        <f t="shared" si="94"/>
        <v>0.363</v>
      </c>
      <c r="HI74" s="125">
        <f t="shared" si="94"/>
        <v>93.243</v>
      </c>
      <c r="HJ74" s="125">
        <f t="shared" si="94"/>
        <v>48.046</v>
      </c>
      <c r="HK74" s="125">
        <f t="shared" si="94"/>
        <v>42.778000000000006</v>
      </c>
      <c r="HL74" s="125">
        <f t="shared" si="94"/>
        <v>10.049</v>
      </c>
      <c r="HM74" s="125">
        <f t="shared" si="94"/>
        <v>0.025</v>
      </c>
      <c r="HN74" s="125">
        <f t="shared" si="94"/>
        <v>25.762</v>
      </c>
      <c r="HO74" s="125">
        <f t="shared" si="94"/>
        <v>33.315</v>
      </c>
      <c r="HP74" s="125">
        <f t="shared" si="94"/>
        <v>18.1</v>
      </c>
      <c r="HQ74" s="125">
        <f t="shared" si="94"/>
        <v>15</v>
      </c>
      <c r="HR74" s="125">
        <f t="shared" si="94"/>
        <v>5.821</v>
      </c>
      <c r="HS74" s="125">
        <f t="shared" si="94"/>
        <v>54.471</v>
      </c>
      <c r="HT74" s="125">
        <f t="shared" si="94"/>
        <v>27.62</v>
      </c>
      <c r="HU74" s="125">
        <f t="shared" si="94"/>
        <v>31.232</v>
      </c>
      <c r="HV74" s="125">
        <f t="shared" si="94"/>
        <v>0</v>
      </c>
      <c r="HW74" s="125">
        <f t="shared" si="94"/>
        <v>0</v>
      </c>
      <c r="HX74" s="125">
        <f t="shared" si="94"/>
        <v>0</v>
      </c>
      <c r="HY74" s="125">
        <f t="shared" si="94"/>
        <v>0</v>
      </c>
      <c r="HZ74" s="125">
        <f t="shared" si="94"/>
        <v>0</v>
      </c>
      <c r="IA74" s="125">
        <f t="shared" si="94"/>
        <v>0</v>
      </c>
      <c r="IB74" s="125">
        <f t="shared" si="94"/>
        <v>0</v>
      </c>
      <c r="IC74" s="125">
        <f t="shared" si="94"/>
        <v>0</v>
      </c>
      <c r="ID74" s="125">
        <f t="shared" si="94"/>
        <v>116.365</v>
      </c>
      <c r="IE74" s="125">
        <f t="shared" si="94"/>
        <v>119.144</v>
      </c>
    </row>
    <row r="75" spans="1:239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50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47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50"/>
      <c r="IE75" s="150"/>
    </row>
    <row r="76" spans="1:239" ht="15.75">
      <c r="A76" s="131" t="s">
        <v>85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8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75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86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>
        <v>278.64000000000004</v>
      </c>
      <c r="DG76" s="123" t="s">
        <v>36</v>
      </c>
      <c r="DH76" s="123">
        <v>1</v>
      </c>
      <c r="DI76" s="123">
        <v>17.6</v>
      </c>
      <c r="DJ76" s="123">
        <v>17.6</v>
      </c>
      <c r="DK76" s="123">
        <v>18</v>
      </c>
      <c r="DL76" s="123">
        <v>38</v>
      </c>
      <c r="DM76" s="123">
        <v>38</v>
      </c>
      <c r="DN76" s="123">
        <v>38</v>
      </c>
      <c r="DO76" s="123">
        <v>1</v>
      </c>
      <c r="DP76" s="123">
        <v>1</v>
      </c>
      <c r="DQ76" s="123">
        <v>6</v>
      </c>
      <c r="DR76" s="123">
        <v>5</v>
      </c>
      <c r="DS76" s="123">
        <f>DQ76+DR76</f>
        <v>11</v>
      </c>
      <c r="DT76" s="123" t="s">
        <v>36</v>
      </c>
      <c r="DU76" s="123"/>
      <c r="DV76" s="123">
        <v>1</v>
      </c>
      <c r="DW76" s="123" t="s">
        <v>86</v>
      </c>
      <c r="DX76" s="123">
        <f>'[1]Feuil2'!$D$38</f>
        <v>20.222</v>
      </c>
      <c r="DY76" s="123">
        <v>0</v>
      </c>
      <c r="DZ76" s="123">
        <v>5</v>
      </c>
      <c r="EA76" s="123">
        <v>0.1</v>
      </c>
      <c r="EB76" s="123">
        <v>0</v>
      </c>
      <c r="EC76" s="123">
        <v>0</v>
      </c>
      <c r="ED76" s="123">
        <v>26</v>
      </c>
      <c r="EE76" s="123">
        <v>1.2</v>
      </c>
      <c r="EF76" s="150">
        <f>SUM(DT76:EE76)</f>
        <v>53.522000000000006</v>
      </c>
      <c r="EG76" s="123">
        <v>16</v>
      </c>
      <c r="EH76" s="123">
        <v>0.5</v>
      </c>
      <c r="EI76" s="123">
        <v>17</v>
      </c>
      <c r="EJ76" s="123">
        <v>0</v>
      </c>
      <c r="EK76" s="123">
        <v>9.9</v>
      </c>
      <c r="EL76" s="123">
        <v>0.1</v>
      </c>
      <c r="EM76" s="123">
        <v>28.2</v>
      </c>
      <c r="EN76" s="123">
        <v>0</v>
      </c>
      <c r="EO76" s="123">
        <v>0</v>
      </c>
      <c r="EP76" s="123">
        <v>1.18</v>
      </c>
      <c r="EQ76" s="123">
        <v>2.6</v>
      </c>
      <c r="ER76" s="123">
        <v>15.9</v>
      </c>
      <c r="ES76" s="123">
        <f>SUM(EG76:ER76)</f>
        <v>91.38000000000001</v>
      </c>
      <c r="ET76" s="123">
        <v>13.7</v>
      </c>
      <c r="EU76" s="123">
        <v>4.679</v>
      </c>
      <c r="EV76" s="123">
        <f>'[4]IV5-IV6'!$D$9</f>
        <v>16.695</v>
      </c>
      <c r="EW76" s="123"/>
      <c r="EX76" s="123"/>
      <c r="EY76" s="123"/>
      <c r="EZ76" s="123"/>
      <c r="FA76" s="123">
        <v>191.702</v>
      </c>
      <c r="FB76" s="123"/>
      <c r="FC76" s="123">
        <v>3.219</v>
      </c>
      <c r="FD76" s="123">
        <v>0</v>
      </c>
      <c r="FE76" s="123">
        <v>16.1</v>
      </c>
      <c r="FF76" s="123">
        <f>SUM(ET76:FE76)</f>
        <v>246.095</v>
      </c>
      <c r="FG76" s="123">
        <v>108.124</v>
      </c>
      <c r="FH76" s="123">
        <v>6.86</v>
      </c>
      <c r="FI76" s="123">
        <v>18.5</v>
      </c>
      <c r="FJ76" s="123">
        <f>'[5]IV5-IV6'!$C$68</f>
        <v>30.866</v>
      </c>
      <c r="FK76" s="123">
        <v>3423.35</v>
      </c>
      <c r="FL76" s="123">
        <v>55.3</v>
      </c>
      <c r="FM76" s="123">
        <v>2231.809</v>
      </c>
      <c r="FN76" s="123">
        <v>3090</v>
      </c>
      <c r="FO76" s="123">
        <v>14.384</v>
      </c>
      <c r="FP76" s="123">
        <v>38.1</v>
      </c>
      <c r="FQ76" s="123">
        <v>20.375</v>
      </c>
      <c r="FR76" s="123">
        <v>30.6</v>
      </c>
      <c r="FS76" s="123">
        <f>+FG76+FH76+FI76+FJ76+FK76+FL76+FM76+FN76+FO76+FP76+FQ76+FR76</f>
        <v>9068.268000000002</v>
      </c>
      <c r="FT76" s="123">
        <v>6.86</v>
      </c>
      <c r="FU76" s="123">
        <v>0.03199999999999999</v>
      </c>
      <c r="FV76" s="123">
        <v>14</v>
      </c>
      <c r="FW76" s="123">
        <v>862.425</v>
      </c>
      <c r="FX76" s="123">
        <v>1110</v>
      </c>
      <c r="FY76" s="123">
        <v>105.138</v>
      </c>
      <c r="FZ76" s="123">
        <v>360.1</v>
      </c>
      <c r="GA76" s="123">
        <v>704.572</v>
      </c>
      <c r="GB76" s="123"/>
      <c r="GC76" s="123">
        <v>735.738</v>
      </c>
      <c r="GD76" s="123">
        <v>370.928</v>
      </c>
      <c r="GE76" s="123">
        <v>20</v>
      </c>
      <c r="GF76" s="123">
        <v>0.105</v>
      </c>
      <c r="GG76" s="123">
        <f t="shared" si="89"/>
        <v>4283.038</v>
      </c>
      <c r="GH76" s="123">
        <v>0.122</v>
      </c>
      <c r="GI76" s="123">
        <v>41.063</v>
      </c>
      <c r="GJ76" s="123">
        <v>12.808</v>
      </c>
      <c r="GK76" s="123">
        <v>10.3</v>
      </c>
      <c r="GL76" s="123">
        <v>0.012</v>
      </c>
      <c r="GM76" s="123">
        <v>2200.065</v>
      </c>
      <c r="GN76" s="123">
        <v>0.007</v>
      </c>
      <c r="GO76" s="123">
        <v>2212.703</v>
      </c>
      <c r="GP76" s="123"/>
      <c r="GQ76" s="123">
        <v>0.031</v>
      </c>
      <c r="GR76" s="123">
        <v>19.885</v>
      </c>
      <c r="GS76" s="123"/>
      <c r="GT76" s="123">
        <v>26.7</v>
      </c>
      <c r="GU76" s="123">
        <v>0.02</v>
      </c>
      <c r="GV76" s="123"/>
      <c r="GW76" s="123">
        <v>47.753</v>
      </c>
      <c r="GX76" s="123">
        <v>0.183</v>
      </c>
      <c r="GY76" s="123"/>
      <c r="GZ76" s="123">
        <v>1.5</v>
      </c>
      <c r="HA76" s="123">
        <v>0.199</v>
      </c>
      <c r="HB76" s="123">
        <v>0.5</v>
      </c>
      <c r="HC76" s="123">
        <v>30.725</v>
      </c>
      <c r="HD76" s="123"/>
      <c r="HE76" s="123">
        <v>22.26</v>
      </c>
      <c r="HF76" s="123">
        <v>0.264</v>
      </c>
      <c r="HG76" s="123">
        <v>21.31</v>
      </c>
      <c r="HH76" s="123">
        <v>0.363</v>
      </c>
      <c r="HI76" s="123">
        <v>93.148</v>
      </c>
      <c r="HJ76" s="123">
        <v>20.046</v>
      </c>
      <c r="HK76" s="123">
        <v>42.758</v>
      </c>
      <c r="HL76" s="123">
        <v>8.549</v>
      </c>
      <c r="HM76" s="123">
        <v>0.025</v>
      </c>
      <c r="HN76" s="123">
        <v>25.762</v>
      </c>
      <c r="HO76" s="123">
        <v>33.315</v>
      </c>
      <c r="HP76" s="123">
        <v>18.1</v>
      </c>
      <c r="HQ76" s="123">
        <v>15</v>
      </c>
      <c r="HR76" s="123">
        <v>5.821</v>
      </c>
      <c r="HS76" s="123">
        <v>54.29</v>
      </c>
      <c r="HT76" s="123">
        <v>26.62</v>
      </c>
      <c r="HU76" s="123">
        <v>28.727</v>
      </c>
      <c r="HV76" s="123"/>
      <c r="HW76" s="123"/>
      <c r="HX76" s="123"/>
      <c r="HY76" s="123"/>
      <c r="HZ76" s="123"/>
      <c r="IA76" s="123"/>
      <c r="IB76" s="123"/>
      <c r="IC76" s="123"/>
      <c r="ID76" s="150">
        <f>HF76+HG76+HH76+HI76</f>
        <v>115.085</v>
      </c>
      <c r="IE76" s="150">
        <f>HR76+HS76+HT76+HU76</f>
        <v>115.458</v>
      </c>
    </row>
    <row r="77" spans="1:239" ht="15.75">
      <c r="A77" s="131" t="s">
        <v>106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30.8</v>
      </c>
      <c r="DG77" s="123">
        <v>2.6</v>
      </c>
      <c r="DH77" s="123">
        <v>5.2</v>
      </c>
      <c r="DI77" s="123">
        <v>7.8</v>
      </c>
      <c r="DJ77" s="123">
        <v>8</v>
      </c>
      <c r="DK77" s="123">
        <v>8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8.4</v>
      </c>
      <c r="DQ77" s="123">
        <v>28.6</v>
      </c>
      <c r="DR77" s="123">
        <v>58</v>
      </c>
      <c r="DS77" s="123">
        <f>DQ77+DR77</f>
        <v>86.6</v>
      </c>
      <c r="DT77" s="123">
        <v>32.4</v>
      </c>
      <c r="DU77" s="123">
        <v>4.4</v>
      </c>
      <c r="DV77" s="123"/>
      <c r="DW77" s="123">
        <v>25</v>
      </c>
      <c r="DX77" s="123">
        <v>0</v>
      </c>
      <c r="DY77" s="123">
        <f>'[2]Feuil3'!$E$43</f>
        <v>49.909</v>
      </c>
      <c r="DZ77" s="123">
        <f>37+10+0.1</f>
        <v>47.1</v>
      </c>
      <c r="EA77" s="123">
        <f>46+6</f>
        <v>52</v>
      </c>
      <c r="EB77" s="123">
        <v>46.981</v>
      </c>
      <c r="EC77" s="123">
        <v>141.657</v>
      </c>
      <c r="ED77" s="123">
        <v>96</v>
      </c>
      <c r="EE77" s="123">
        <f>2+87</f>
        <v>89</v>
      </c>
      <c r="EF77" s="150">
        <f>SUM(DT77:EE77)</f>
        <v>584.447</v>
      </c>
      <c r="EG77" s="123">
        <v>97</v>
      </c>
      <c r="EH77" s="123">
        <f>21</f>
        <v>21</v>
      </c>
      <c r="EI77" s="123">
        <v>111</v>
      </c>
      <c r="EJ77" s="123">
        <f>'[3]avril pays'!$C$47</f>
        <v>1.762</v>
      </c>
      <c r="EK77" s="123">
        <f>188.3</f>
        <v>188.3</v>
      </c>
      <c r="EL77" s="123">
        <v>180</v>
      </c>
      <c r="EM77" s="123">
        <v>25.7</v>
      </c>
      <c r="EN77" s="123">
        <v>181.98</v>
      </c>
      <c r="EO77" s="123">
        <v>103.5</v>
      </c>
      <c r="EP77" s="123">
        <v>42.967</v>
      </c>
      <c r="EQ77" s="123">
        <v>108</v>
      </c>
      <c r="ER77" s="123">
        <f>51.4+1.3</f>
        <v>52.699999999999996</v>
      </c>
      <c r="ES77" s="123">
        <f>SUM(EG77:ER77)</f>
        <v>1113.909</v>
      </c>
      <c r="ET77" s="123">
        <v>35.62</v>
      </c>
      <c r="EU77" s="123">
        <v>27.85</v>
      </c>
      <c r="EV77" s="123">
        <f>'[4]IV5-IV6'!$D$51</f>
        <v>110.557</v>
      </c>
      <c r="EW77" s="123">
        <v>164.11</v>
      </c>
      <c r="EX77" s="123">
        <v>128.6</v>
      </c>
      <c r="EY77" s="123">
        <v>215.1</v>
      </c>
      <c r="EZ77" s="123">
        <v>130.502</v>
      </c>
      <c r="FA77" s="123">
        <v>0</v>
      </c>
      <c r="FB77" s="123">
        <v>157.9</v>
      </c>
      <c r="FC77" s="123">
        <v>207.637</v>
      </c>
      <c r="FD77" s="123">
        <v>121.585</v>
      </c>
      <c r="FE77" s="123">
        <v>126.294</v>
      </c>
      <c r="FF77" s="123">
        <f>SUM(ET77:FE77)</f>
        <v>1425.755</v>
      </c>
      <c r="FG77" s="123">
        <v>272.449</v>
      </c>
      <c r="FH77" s="123">
        <v>12.78</v>
      </c>
      <c r="FI77" s="123"/>
      <c r="FJ77" s="123">
        <f>'[5]IV5-IV6'!$C$69</f>
        <v>145.244</v>
      </c>
      <c r="FK77" s="123">
        <v>154.414</v>
      </c>
      <c r="FL77" s="123">
        <f>0.2+99.1</f>
        <v>99.3</v>
      </c>
      <c r="FM77" s="123">
        <v>452.635</v>
      </c>
      <c r="FN77" s="123">
        <v>140.325</v>
      </c>
      <c r="FO77" s="123">
        <v>83.942</v>
      </c>
      <c r="FP77" s="123">
        <v>98</v>
      </c>
      <c r="FQ77" s="123">
        <v>71.67099999999999</v>
      </c>
      <c r="FR77" s="123">
        <v>43.800000000000004</v>
      </c>
      <c r="FS77" s="123">
        <f>+FG77+FH77+FI77+FJ77+FK77+FL77+FM77+FN77+FO77+FP77+FQ77+FR77</f>
        <v>1574.56</v>
      </c>
      <c r="FT77" s="123">
        <v>12.78</v>
      </c>
      <c r="FU77" s="123">
        <v>0.1</v>
      </c>
      <c r="FV77" s="123">
        <v>0</v>
      </c>
      <c r="FW77" s="123">
        <v>0</v>
      </c>
      <c r="FX77" s="123"/>
      <c r="FY77" s="123">
        <v>0.08</v>
      </c>
      <c r="FZ77" s="123">
        <v>7.417</v>
      </c>
      <c r="GA77" s="123"/>
      <c r="GB77" s="123"/>
      <c r="GC77" s="123"/>
      <c r="GD77" s="123">
        <v>0.002</v>
      </c>
      <c r="GE77" s="123"/>
      <c r="GF77" s="123"/>
      <c r="GG77" s="123">
        <f t="shared" si="89"/>
        <v>7.598999999999999</v>
      </c>
      <c r="GH77" s="123"/>
      <c r="GI77" s="123">
        <v>0</v>
      </c>
      <c r="GJ77" s="123">
        <v>0.018</v>
      </c>
      <c r="GK77" s="123">
        <v>0</v>
      </c>
      <c r="GL77" s="123">
        <v>0.04</v>
      </c>
      <c r="GM77" s="123"/>
      <c r="GN77" s="123"/>
      <c r="GO77" s="123">
        <v>0.23</v>
      </c>
      <c r="GP77" s="123">
        <v>7.87</v>
      </c>
      <c r="GQ77" s="123">
        <v>0.18</v>
      </c>
      <c r="GR77" s="123"/>
      <c r="GS77" s="123">
        <v>0</v>
      </c>
      <c r="GT77" s="123">
        <v>18.174</v>
      </c>
      <c r="GU77" s="123">
        <v>7.48</v>
      </c>
      <c r="GV77" s="123"/>
      <c r="GW77" s="123"/>
      <c r="GX77" s="123"/>
      <c r="GY77" s="123"/>
      <c r="GZ77" s="123">
        <v>26.7</v>
      </c>
      <c r="HA77" s="123">
        <v>1.7</v>
      </c>
      <c r="HB77" s="123"/>
      <c r="HC77" s="123"/>
      <c r="HD77" s="123"/>
      <c r="HE77" s="123"/>
      <c r="HF77" s="123">
        <v>0.002</v>
      </c>
      <c r="HG77" s="123">
        <v>1.183</v>
      </c>
      <c r="HH77" s="123"/>
      <c r="HI77" s="123">
        <v>0.095</v>
      </c>
      <c r="HJ77" s="123">
        <v>28</v>
      </c>
      <c r="HK77" s="123">
        <v>0.02</v>
      </c>
      <c r="HL77" s="123">
        <v>1.5</v>
      </c>
      <c r="HM77" s="123"/>
      <c r="HN77" s="123"/>
      <c r="HO77" s="123"/>
      <c r="HP77" s="123"/>
      <c r="HQ77" s="123"/>
      <c r="HR77" s="123"/>
      <c r="HS77" s="123">
        <v>0.181</v>
      </c>
      <c r="HT77" s="123">
        <v>1</v>
      </c>
      <c r="HU77" s="123">
        <v>2.505</v>
      </c>
      <c r="HV77" s="123"/>
      <c r="HW77" s="123"/>
      <c r="HX77" s="123"/>
      <c r="HY77" s="123"/>
      <c r="HZ77" s="123"/>
      <c r="IA77" s="123"/>
      <c r="IB77" s="123"/>
      <c r="IC77" s="123"/>
      <c r="ID77" s="150">
        <f>HF77+HG77+HH77+HI77</f>
        <v>1.28</v>
      </c>
      <c r="IE77" s="150">
        <f>HR77+HS77+HT77+HU77</f>
        <v>3.686</v>
      </c>
    </row>
    <row r="78" spans="1:239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50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>
        <f t="shared" si="89"/>
        <v>0</v>
      </c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50"/>
      <c r="IE78" s="150"/>
    </row>
    <row r="79" spans="1:239" ht="15.75">
      <c r="A79" s="130" t="s">
        <v>135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8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86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86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3">
        <v>0.085</v>
      </c>
      <c r="DD79" s="126">
        <v>0</v>
      </c>
      <c r="DE79" s="169">
        <v>0.04</v>
      </c>
      <c r="DF79" s="163">
        <v>0.1</v>
      </c>
      <c r="DG79" s="126" t="s">
        <v>36</v>
      </c>
      <c r="DH79" s="126" t="s">
        <v>36</v>
      </c>
      <c r="DI79" s="126" t="s">
        <v>36</v>
      </c>
      <c r="DJ79" s="126">
        <v>17.8</v>
      </c>
      <c r="DK79" s="126">
        <v>17.8</v>
      </c>
      <c r="DL79" s="126" t="s">
        <v>36</v>
      </c>
      <c r="DM79" s="126" t="s">
        <v>36</v>
      </c>
      <c r="DN79" s="126" t="s">
        <v>36</v>
      </c>
      <c r="DO79" s="126" t="s">
        <v>36</v>
      </c>
      <c r="DP79" s="126" t="s">
        <v>36</v>
      </c>
      <c r="DQ79" s="126" t="s">
        <v>36</v>
      </c>
      <c r="DR79" s="126"/>
      <c r="DS79" s="126" t="s">
        <v>36</v>
      </c>
      <c r="DT79" s="126" t="s">
        <v>36</v>
      </c>
      <c r="DU79" s="126"/>
      <c r="DV79" s="126"/>
      <c r="DW79" s="126" t="s">
        <v>36</v>
      </c>
      <c r="DX79" s="126" t="s">
        <v>36</v>
      </c>
      <c r="DY79" s="126"/>
      <c r="DZ79" s="126">
        <v>0</v>
      </c>
      <c r="EA79" s="126">
        <v>0</v>
      </c>
      <c r="EB79" s="126">
        <v>0</v>
      </c>
      <c r="EC79" s="126">
        <v>0</v>
      </c>
      <c r="ED79" s="126"/>
      <c r="EE79" s="126"/>
      <c r="EF79" s="125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 t="s">
        <v>36</v>
      </c>
      <c r="EV79" s="126"/>
      <c r="EW79" s="126"/>
      <c r="EX79" s="126"/>
      <c r="EY79" s="126"/>
      <c r="EZ79" s="126" t="s">
        <v>36</v>
      </c>
      <c r="FA79" s="126">
        <v>0</v>
      </c>
      <c r="FB79" s="126"/>
      <c r="FC79" s="126"/>
      <c r="FD79" s="126" t="s">
        <v>36</v>
      </c>
      <c r="FE79" s="126"/>
      <c r="FF79" s="126" t="s">
        <v>36</v>
      </c>
      <c r="FG79" s="126"/>
      <c r="FH79" s="126"/>
      <c r="FI79" s="126"/>
      <c r="FJ79" s="126" t="s">
        <v>36</v>
      </c>
      <c r="FK79" s="126"/>
      <c r="FL79" s="126"/>
      <c r="FM79" s="126">
        <v>0.14</v>
      </c>
      <c r="FN79" s="126">
        <v>0</v>
      </c>
      <c r="FO79" s="126">
        <v>0</v>
      </c>
      <c r="FP79" s="126"/>
      <c r="FQ79" s="126"/>
      <c r="FR79" s="126" t="s">
        <v>36</v>
      </c>
      <c r="FS79" s="126" t="s">
        <v>36</v>
      </c>
      <c r="FT79" s="126"/>
      <c r="FU79" s="126">
        <v>0</v>
      </c>
      <c r="FV79" s="126">
        <v>0</v>
      </c>
      <c r="FW79" s="126">
        <v>0</v>
      </c>
      <c r="FX79" s="126">
        <v>0.085</v>
      </c>
      <c r="FY79" s="126">
        <v>0</v>
      </c>
      <c r="FZ79" s="126">
        <v>0</v>
      </c>
      <c r="GA79" s="126">
        <v>0</v>
      </c>
      <c r="GB79" s="126">
        <v>0</v>
      </c>
      <c r="GC79" s="126">
        <v>0</v>
      </c>
      <c r="GD79" s="126">
        <v>0</v>
      </c>
      <c r="GE79" s="126">
        <v>0</v>
      </c>
      <c r="GF79" s="126">
        <v>0</v>
      </c>
      <c r="GG79" s="126">
        <f t="shared" si="89"/>
        <v>0.085</v>
      </c>
      <c r="GH79" s="126">
        <v>0</v>
      </c>
      <c r="GI79" s="126">
        <v>0</v>
      </c>
      <c r="GJ79" s="126"/>
      <c r="GK79" s="126"/>
      <c r="GL79" s="126">
        <v>0</v>
      </c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>
        <v>0</v>
      </c>
      <c r="GX79" s="126">
        <v>0</v>
      </c>
      <c r="GY79" s="126">
        <v>0</v>
      </c>
      <c r="GZ79" s="126">
        <v>0</v>
      </c>
      <c r="HA79" s="126">
        <v>0</v>
      </c>
      <c r="HB79" s="126">
        <v>0</v>
      </c>
      <c r="HC79" s="126">
        <v>0</v>
      </c>
      <c r="HD79" s="167">
        <v>0.02</v>
      </c>
      <c r="HE79" s="167">
        <v>0.02</v>
      </c>
      <c r="HF79" s="167">
        <v>0.02</v>
      </c>
      <c r="HG79" s="126"/>
      <c r="HH79" s="126"/>
      <c r="HI79" s="126">
        <v>0.08</v>
      </c>
      <c r="HJ79" s="126"/>
      <c r="HK79" s="126"/>
      <c r="HL79" s="126"/>
      <c r="HM79" s="126"/>
      <c r="HN79" s="126"/>
      <c r="HO79" s="126"/>
      <c r="HP79" s="126"/>
      <c r="HQ79" s="126"/>
      <c r="HR79" s="126"/>
      <c r="HS79" s="126">
        <v>0</v>
      </c>
      <c r="HT79" s="126">
        <v>0</v>
      </c>
      <c r="HU79" s="126">
        <v>0</v>
      </c>
      <c r="HV79" s="126"/>
      <c r="HW79" s="126"/>
      <c r="HX79" s="126"/>
      <c r="HY79" s="126"/>
      <c r="HZ79" s="126"/>
      <c r="IA79" s="126"/>
      <c r="IB79" s="126"/>
      <c r="IC79" s="126"/>
      <c r="ID79" s="168">
        <f>HF79+HG79+HH79+HI79</f>
        <v>0.1</v>
      </c>
      <c r="IE79" s="168">
        <f>HR79+HS79+HT79+HU79</f>
        <v>0</v>
      </c>
    </row>
    <row r="80" spans="1:239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2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4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47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5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50"/>
      <c r="IE80" s="150"/>
    </row>
    <row r="81" spans="1:239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55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50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48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6"/>
      <c r="IE81" s="156"/>
    </row>
    <row r="82" spans="1:239" ht="15.75">
      <c r="A82" s="130" t="s">
        <v>72</v>
      </c>
      <c r="B82" s="65">
        <f aca="true" t="shared" si="95" ref="B82:AW82">SUM(B13,B39,B55,B68,B74,B79)</f>
        <v>191272</v>
      </c>
      <c r="C82" s="65">
        <f t="shared" si="95"/>
        <v>224331</v>
      </c>
      <c r="D82" s="65">
        <f t="shared" si="95"/>
        <v>216065</v>
      </c>
      <c r="E82" s="65">
        <f t="shared" si="95"/>
        <v>230158</v>
      </c>
      <c r="F82" s="65">
        <f t="shared" si="95"/>
        <v>227566.2</v>
      </c>
      <c r="G82" s="65">
        <f t="shared" si="95"/>
        <v>217093</v>
      </c>
      <c r="H82" s="65">
        <f t="shared" si="95"/>
        <v>270067</v>
      </c>
      <c r="I82" s="65">
        <f t="shared" si="95"/>
        <v>236861</v>
      </c>
      <c r="J82" s="65">
        <f t="shared" si="95"/>
        <v>229721</v>
      </c>
      <c r="K82" s="65">
        <f t="shared" si="95"/>
        <v>273109</v>
      </c>
      <c r="L82" s="65">
        <f t="shared" si="95"/>
        <v>273115</v>
      </c>
      <c r="M82" s="65">
        <f t="shared" si="95"/>
        <v>139029</v>
      </c>
      <c r="N82" s="65">
        <f t="shared" si="95"/>
        <v>107527</v>
      </c>
      <c r="O82" s="65">
        <f t="shared" si="95"/>
        <v>174204</v>
      </c>
      <c r="P82" s="65">
        <f t="shared" si="95"/>
        <v>162278</v>
      </c>
      <c r="Q82" s="65">
        <f t="shared" si="95"/>
        <v>14395</v>
      </c>
      <c r="R82" s="65">
        <f t="shared" si="95"/>
        <v>11124</v>
      </c>
      <c r="S82" s="65">
        <f t="shared" si="95"/>
        <v>14824</v>
      </c>
      <c r="T82" s="65">
        <f t="shared" si="95"/>
        <v>17386</v>
      </c>
      <c r="U82" s="65">
        <f t="shared" si="95"/>
        <v>14253</v>
      </c>
      <c r="V82" s="65">
        <f t="shared" si="95"/>
        <v>11225</v>
      </c>
      <c r="W82" s="65">
        <f t="shared" si="95"/>
        <v>10855</v>
      </c>
      <c r="X82" s="65">
        <f t="shared" si="95"/>
        <v>12686</v>
      </c>
      <c r="Y82" s="65">
        <f t="shared" si="95"/>
        <v>14540</v>
      </c>
      <c r="Z82" s="65">
        <f t="shared" si="95"/>
        <v>11684</v>
      </c>
      <c r="AA82" s="65">
        <f t="shared" si="95"/>
        <v>15007</v>
      </c>
      <c r="AB82" s="65">
        <f t="shared" si="95"/>
        <v>14299</v>
      </c>
      <c r="AC82" s="65">
        <f t="shared" si="95"/>
        <v>162278</v>
      </c>
      <c r="AD82" s="65">
        <f t="shared" si="95"/>
        <v>187569</v>
      </c>
      <c r="AE82" s="65">
        <f t="shared" si="95"/>
        <v>11655</v>
      </c>
      <c r="AF82" s="65">
        <f t="shared" si="95"/>
        <v>16182</v>
      </c>
      <c r="AG82" s="65">
        <f t="shared" si="95"/>
        <v>18248</v>
      </c>
      <c r="AH82" s="65">
        <f t="shared" si="95"/>
        <v>15555</v>
      </c>
      <c r="AI82" s="65">
        <f t="shared" si="95"/>
        <v>17829</v>
      </c>
      <c r="AJ82" s="65">
        <f t="shared" si="95"/>
        <v>16946</v>
      </c>
      <c r="AK82" s="65">
        <f t="shared" si="95"/>
        <v>12775</v>
      </c>
      <c r="AL82" s="65">
        <f t="shared" si="95"/>
        <v>15733</v>
      </c>
      <c r="AM82" s="65">
        <f t="shared" si="95"/>
        <v>17691</v>
      </c>
      <c r="AN82" s="65">
        <f t="shared" si="95"/>
        <v>14486</v>
      </c>
      <c r="AO82" s="65">
        <f t="shared" si="95"/>
        <v>14932</v>
      </c>
      <c r="AP82" s="65">
        <f t="shared" si="95"/>
        <v>15537</v>
      </c>
      <c r="AQ82" s="65">
        <f t="shared" si="95"/>
        <v>187569</v>
      </c>
      <c r="AR82" s="65">
        <f t="shared" si="95"/>
        <v>177124</v>
      </c>
      <c r="AS82" s="65">
        <f t="shared" si="95"/>
        <v>184280</v>
      </c>
      <c r="AT82" s="65">
        <f t="shared" si="95"/>
        <v>230290</v>
      </c>
      <c r="AU82" s="65">
        <f t="shared" si="95"/>
        <v>228418</v>
      </c>
      <c r="AV82" s="65">
        <f t="shared" si="95"/>
        <v>355091.00000000006</v>
      </c>
      <c r="AW82" s="65">
        <f t="shared" si="95"/>
        <v>308925.9</v>
      </c>
      <c r="AX82" s="65">
        <f aca="true" t="shared" si="96" ref="AX82:CY82">SUM(AX13,AX39,AX55,AX68,AX74,AX79)</f>
        <v>13344</v>
      </c>
      <c r="AY82" s="65">
        <f t="shared" si="96"/>
        <v>16491</v>
      </c>
      <c r="AZ82" s="65">
        <f t="shared" si="96"/>
        <v>24791</v>
      </c>
      <c r="BA82" s="65">
        <f t="shared" si="96"/>
        <v>18247</v>
      </c>
      <c r="BB82" s="65">
        <f t="shared" si="96"/>
        <v>16947</v>
      </c>
      <c r="BC82" s="65">
        <f t="shared" si="96"/>
        <v>22318</v>
      </c>
      <c r="BD82" s="65">
        <f t="shared" si="96"/>
        <v>18864</v>
      </c>
      <c r="BE82" s="65">
        <f t="shared" si="96"/>
        <v>18418</v>
      </c>
      <c r="BF82" s="65">
        <f t="shared" si="96"/>
        <v>19587</v>
      </c>
      <c r="BG82" s="65">
        <f t="shared" si="96"/>
        <v>20373</v>
      </c>
      <c r="BH82" s="65">
        <f t="shared" si="96"/>
        <v>17720</v>
      </c>
      <c r="BI82" s="65">
        <f t="shared" si="96"/>
        <v>21318</v>
      </c>
      <c r="BJ82" s="65">
        <f t="shared" si="96"/>
        <v>228418</v>
      </c>
      <c r="BK82" s="65">
        <f t="shared" si="96"/>
        <v>14568</v>
      </c>
      <c r="BL82" s="65">
        <f t="shared" si="96"/>
        <v>15608</v>
      </c>
      <c r="BM82" s="65">
        <f t="shared" si="96"/>
        <v>24948</v>
      </c>
      <c r="BN82" s="65">
        <f t="shared" si="96"/>
        <v>25746</v>
      </c>
      <c r="BO82" s="65">
        <f t="shared" si="96"/>
        <v>20162</v>
      </c>
      <c r="BP82" s="65">
        <f t="shared" si="96"/>
        <v>19244</v>
      </c>
      <c r="BQ82" s="65">
        <f t="shared" si="96"/>
        <v>17123.7</v>
      </c>
      <c r="BR82" s="65">
        <f t="shared" si="96"/>
        <v>19916.400000000005</v>
      </c>
      <c r="BS82" s="65">
        <f t="shared" si="96"/>
        <v>22391.999999999996</v>
      </c>
      <c r="BT82" s="65">
        <f t="shared" si="96"/>
        <v>21548.5</v>
      </c>
      <c r="BU82" s="65">
        <f t="shared" si="96"/>
        <v>127836.4</v>
      </c>
      <c r="BV82" s="65">
        <f t="shared" si="96"/>
        <v>25998</v>
      </c>
      <c r="BW82" s="65">
        <f t="shared" si="96"/>
        <v>355091</v>
      </c>
      <c r="BX82" s="65">
        <f t="shared" si="96"/>
        <v>26120.399999999998</v>
      </c>
      <c r="BY82" s="65">
        <f t="shared" si="96"/>
        <v>26363.6</v>
      </c>
      <c r="BZ82" s="65">
        <f t="shared" si="96"/>
        <v>26497.200000000004</v>
      </c>
      <c r="CA82" s="65">
        <f t="shared" si="96"/>
        <v>21778.800000000003</v>
      </c>
      <c r="CB82" s="65">
        <f t="shared" si="96"/>
        <v>21397.300000000003</v>
      </c>
      <c r="CC82" s="65">
        <f t="shared" si="96"/>
        <v>26373.299999999996</v>
      </c>
      <c r="CD82" s="65">
        <f t="shared" si="96"/>
        <v>27116.7</v>
      </c>
      <c r="CE82" s="65">
        <f t="shared" si="96"/>
        <v>35519.69999999999</v>
      </c>
      <c r="CF82" s="65">
        <f t="shared" si="96"/>
        <v>24366.699999999997</v>
      </c>
      <c r="CG82" s="65">
        <f t="shared" si="96"/>
        <v>24187.00000000002</v>
      </c>
      <c r="CH82" s="65">
        <f t="shared" si="96"/>
        <v>27618.500000000007</v>
      </c>
      <c r="CI82" s="65">
        <f t="shared" si="96"/>
        <v>21572.699999999986</v>
      </c>
      <c r="CJ82" s="65">
        <f t="shared" si="96"/>
        <v>308925.2</v>
      </c>
      <c r="CK82" s="65">
        <f t="shared" si="96"/>
        <v>52484.2</v>
      </c>
      <c r="CL82" s="65">
        <f t="shared" si="96"/>
        <v>78981</v>
      </c>
      <c r="CM82" s="65">
        <f t="shared" si="96"/>
        <v>100760.1</v>
      </c>
      <c r="CN82" s="65">
        <f t="shared" si="96"/>
        <v>122151.4</v>
      </c>
      <c r="CO82" s="65">
        <f t="shared" si="96"/>
        <v>148528.1</v>
      </c>
      <c r="CP82" s="65">
        <f t="shared" si="96"/>
        <v>175643.10000000003</v>
      </c>
      <c r="CQ82" s="65">
        <f t="shared" si="96"/>
        <v>211163.89999999997</v>
      </c>
      <c r="CR82" s="65">
        <f t="shared" si="96"/>
        <v>235547.7</v>
      </c>
      <c r="CS82" s="65">
        <f t="shared" si="96"/>
        <v>259505.40000000002</v>
      </c>
      <c r="CT82" s="65">
        <f t="shared" si="96"/>
        <v>287352.5</v>
      </c>
      <c r="CU82" s="65">
        <f t="shared" si="96"/>
        <v>308925.5</v>
      </c>
      <c r="CV82" s="65">
        <f t="shared" si="96"/>
        <v>278286.7</v>
      </c>
      <c r="CW82" s="65">
        <f t="shared" si="96"/>
        <v>307483</v>
      </c>
      <c r="CX82" s="65">
        <f t="shared" si="96"/>
        <v>353738.19999999995</v>
      </c>
      <c r="CY82" s="145">
        <f t="shared" si="96"/>
        <v>495000.914075067</v>
      </c>
      <c r="CZ82" s="125">
        <f aca="true" t="shared" si="97" ref="CZ82:EQ82">SUM(CZ13,CZ39,CZ55,CZ68,CZ74,CZ79)</f>
        <v>681790.1789999998</v>
      </c>
      <c r="DA82" s="125">
        <f t="shared" si="97"/>
        <v>705347.8269999999</v>
      </c>
      <c r="DB82" s="125">
        <f t="shared" si="97"/>
        <v>809076.9700000001</v>
      </c>
      <c r="DC82" s="125">
        <f t="shared" si="97"/>
        <v>798238.5786180373</v>
      </c>
      <c r="DD82" s="125">
        <f t="shared" si="97"/>
        <v>632337.057</v>
      </c>
      <c r="DE82" s="125">
        <f t="shared" si="97"/>
        <v>708203.3350000001</v>
      </c>
      <c r="DF82" s="125">
        <f t="shared" si="97"/>
        <v>822513.64232</v>
      </c>
      <c r="DG82" s="125">
        <f t="shared" si="97"/>
        <v>25294.100000000002</v>
      </c>
      <c r="DH82" s="125">
        <f t="shared" si="97"/>
        <v>58981.2</v>
      </c>
      <c r="DI82" s="125">
        <f t="shared" si="97"/>
        <v>91367.09999999998</v>
      </c>
      <c r="DJ82" s="125">
        <f t="shared" si="97"/>
        <v>120897.80000000002</v>
      </c>
      <c r="DK82" s="125">
        <f t="shared" si="97"/>
        <v>144380.99999999997</v>
      </c>
      <c r="DL82" s="125">
        <f t="shared" si="97"/>
        <v>174018</v>
      </c>
      <c r="DM82" s="125">
        <f t="shared" si="97"/>
        <v>203585.80000000002</v>
      </c>
      <c r="DN82" s="125">
        <f t="shared" si="97"/>
        <v>238226.33000000005</v>
      </c>
      <c r="DO82" s="125">
        <f t="shared" si="97"/>
        <v>273611</v>
      </c>
      <c r="DP82" s="125">
        <f t="shared" si="97"/>
        <v>298896</v>
      </c>
      <c r="DQ82" s="125">
        <f t="shared" si="97"/>
        <v>325656.19999999995</v>
      </c>
      <c r="DR82" s="125">
        <f t="shared" si="97"/>
        <v>28082</v>
      </c>
      <c r="DS82" s="125">
        <f t="shared" si="97"/>
        <v>353738.19999999995</v>
      </c>
      <c r="DT82" s="125">
        <f t="shared" si="97"/>
        <v>40608.442</v>
      </c>
      <c r="DU82" s="125">
        <f t="shared" si="97"/>
        <v>30680</v>
      </c>
      <c r="DV82" s="125">
        <f t="shared" si="97"/>
        <v>37769.7</v>
      </c>
      <c r="DW82" s="125">
        <f t="shared" si="97"/>
        <v>32649</v>
      </c>
      <c r="DX82" s="125">
        <f t="shared" si="97"/>
        <v>27741.900000000005</v>
      </c>
      <c r="DY82" s="125">
        <f t="shared" si="97"/>
        <v>36335</v>
      </c>
      <c r="DZ82" s="125">
        <f t="shared" si="97"/>
        <v>34444.971</v>
      </c>
      <c r="EA82" s="125">
        <f t="shared" si="97"/>
        <v>45372.257000000005</v>
      </c>
      <c r="EB82" s="125">
        <f t="shared" si="97"/>
        <v>46754.646</v>
      </c>
      <c r="EC82" s="125">
        <f t="shared" si="97"/>
        <v>48732.959999999985</v>
      </c>
      <c r="ED82" s="125">
        <f t="shared" si="97"/>
        <v>52126.31100000001</v>
      </c>
      <c r="EE82" s="125">
        <f t="shared" si="97"/>
        <v>61785.72707506702</v>
      </c>
      <c r="EF82" s="125">
        <f t="shared" si="97"/>
        <v>495000.914075067</v>
      </c>
      <c r="EG82" s="125">
        <f t="shared" si="97"/>
        <v>50446.27499999996</v>
      </c>
      <c r="EH82" s="125">
        <f t="shared" si="97"/>
        <v>52531.713999999985</v>
      </c>
      <c r="EI82" s="125">
        <f t="shared" si="97"/>
        <v>48665.106</v>
      </c>
      <c r="EJ82" s="125">
        <f t="shared" si="97"/>
        <v>50518.33599999998</v>
      </c>
      <c r="EK82" s="125">
        <f t="shared" si="97"/>
        <v>41504.172999999995</v>
      </c>
      <c r="EL82" s="125">
        <f t="shared" si="97"/>
        <v>52823.72000000001</v>
      </c>
      <c r="EM82" s="125">
        <f t="shared" si="97"/>
        <v>49732.068999999974</v>
      </c>
      <c r="EN82" s="125">
        <f t="shared" si="97"/>
        <v>69220.671</v>
      </c>
      <c r="EO82" s="125">
        <f t="shared" si="97"/>
        <v>69252.77799999999</v>
      </c>
      <c r="EP82" s="125">
        <f t="shared" si="97"/>
        <v>57093.47099999999</v>
      </c>
      <c r="EQ82" s="125">
        <f t="shared" si="97"/>
        <v>63408.36599999999</v>
      </c>
      <c r="ER82" s="125">
        <f aca="true" t="shared" si="98" ref="ER82:HD82">SUM(ER13,ER39,ER55,ER68,ER74,ER79)</f>
        <v>76592.2</v>
      </c>
      <c r="ES82" s="125">
        <f t="shared" si="98"/>
        <v>681788.8789999998</v>
      </c>
      <c r="ET82" s="125">
        <f t="shared" si="98"/>
        <v>54920.099</v>
      </c>
      <c r="EU82" s="125">
        <f t="shared" si="98"/>
        <v>54380.556</v>
      </c>
      <c r="EV82" s="125">
        <f t="shared" si="98"/>
        <v>48669.256</v>
      </c>
      <c r="EW82" s="125">
        <f t="shared" si="98"/>
        <v>62562.244</v>
      </c>
      <c r="EX82" s="125">
        <f t="shared" si="98"/>
        <v>56827.799000000006</v>
      </c>
      <c r="EY82" s="125">
        <f t="shared" si="98"/>
        <v>56307.693</v>
      </c>
      <c r="EZ82" s="125">
        <f t="shared" si="98"/>
        <v>53583.05299999999</v>
      </c>
      <c r="FA82" s="125">
        <f t="shared" si="98"/>
        <v>59704.09700000001</v>
      </c>
      <c r="FB82" s="125">
        <f t="shared" si="98"/>
        <v>57138.424999999996</v>
      </c>
      <c r="FC82" s="125">
        <f t="shared" si="98"/>
        <v>62308.905</v>
      </c>
      <c r="FD82" s="125">
        <f t="shared" si="98"/>
        <v>62643.8</v>
      </c>
      <c r="FE82" s="125">
        <f t="shared" si="98"/>
        <v>76302.09999999999</v>
      </c>
      <c r="FF82" s="125">
        <f t="shared" si="98"/>
        <v>705348.0269999999</v>
      </c>
      <c r="FG82" s="125">
        <f t="shared" si="98"/>
        <v>70743.74399999999</v>
      </c>
      <c r="FH82" s="125">
        <f t="shared" si="98"/>
        <v>67452.699</v>
      </c>
      <c r="FI82" s="125">
        <f t="shared" si="98"/>
        <v>46322.83</v>
      </c>
      <c r="FJ82" s="125">
        <f t="shared" si="98"/>
        <v>59342.48499999999</v>
      </c>
      <c r="FK82" s="125">
        <f t="shared" si="98"/>
        <v>55501.755000000005</v>
      </c>
      <c r="FL82" s="125">
        <f t="shared" si="98"/>
        <v>58317.48</v>
      </c>
      <c r="FM82" s="125">
        <f t="shared" si="98"/>
        <v>59402.688</v>
      </c>
      <c r="FN82" s="125">
        <f t="shared" si="98"/>
        <v>70437.768</v>
      </c>
      <c r="FO82" s="125">
        <f t="shared" si="98"/>
        <v>66215.38200000001</v>
      </c>
      <c r="FP82" s="125">
        <f t="shared" si="98"/>
        <v>56960.334000000024</v>
      </c>
      <c r="FQ82" s="125">
        <f t="shared" si="98"/>
        <v>67341.545</v>
      </c>
      <c r="FR82" s="125">
        <f t="shared" si="98"/>
        <v>131038.4</v>
      </c>
      <c r="FS82" s="125">
        <f t="shared" si="98"/>
        <v>809076.9700000001</v>
      </c>
      <c r="FT82" s="125">
        <f t="shared" si="98"/>
        <v>67452.699</v>
      </c>
      <c r="FU82" s="125">
        <f t="shared" si="98"/>
        <v>82148.10800000001</v>
      </c>
      <c r="FV82" s="125">
        <f t="shared" si="98"/>
        <v>77890.236</v>
      </c>
      <c r="FW82" s="125">
        <f t="shared" si="98"/>
        <v>71488.30000000002</v>
      </c>
      <c r="FX82" s="125">
        <f t="shared" si="98"/>
        <v>46978.432</v>
      </c>
      <c r="FY82" s="125">
        <f t="shared" si="98"/>
        <v>52236.312</v>
      </c>
      <c r="FZ82" s="125">
        <f t="shared" si="98"/>
        <v>66449.99761803732</v>
      </c>
      <c r="GA82" s="125">
        <f t="shared" si="98"/>
        <v>59709.57000000001</v>
      </c>
      <c r="GB82" s="125">
        <f t="shared" si="98"/>
        <v>71497.358</v>
      </c>
      <c r="GC82" s="125">
        <f t="shared" si="98"/>
        <v>78063.86499999999</v>
      </c>
      <c r="GD82" s="125">
        <f t="shared" si="98"/>
        <v>63509.992000000006</v>
      </c>
      <c r="GE82" s="125">
        <f t="shared" si="98"/>
        <v>63766.422000000006</v>
      </c>
      <c r="GF82" s="125">
        <f t="shared" si="98"/>
        <v>64499.986000000004</v>
      </c>
      <c r="GG82" s="125">
        <f t="shared" si="98"/>
        <v>798238.5786180373</v>
      </c>
      <c r="GH82" s="125">
        <f t="shared" si="98"/>
        <v>68018.792</v>
      </c>
      <c r="GI82" s="125">
        <f t="shared" si="98"/>
        <v>68550.466</v>
      </c>
      <c r="GJ82" s="125">
        <f t="shared" si="98"/>
        <v>65338.278999999995</v>
      </c>
      <c r="GK82" s="125">
        <f t="shared" si="98"/>
        <v>60011.649</v>
      </c>
      <c r="GL82" s="125">
        <f t="shared" si="98"/>
        <v>42471.098000000005</v>
      </c>
      <c r="GM82" s="125">
        <f t="shared" si="98"/>
        <v>61234.983</v>
      </c>
      <c r="GN82" s="125">
        <f t="shared" si="98"/>
        <v>59575.641</v>
      </c>
      <c r="GO82" s="125">
        <f t="shared" si="98"/>
        <v>69012.68800000001</v>
      </c>
      <c r="GP82" s="125">
        <f t="shared" si="98"/>
        <v>77787.108</v>
      </c>
      <c r="GQ82" s="125">
        <f t="shared" si="98"/>
        <v>71549.307</v>
      </c>
      <c r="GR82" s="125">
        <f t="shared" si="98"/>
        <v>66191.06279560548</v>
      </c>
      <c r="GS82" s="125">
        <f t="shared" si="98"/>
        <v>69488.914</v>
      </c>
      <c r="GT82" s="125">
        <f t="shared" si="98"/>
        <v>45575.280000000006</v>
      </c>
      <c r="GU82" s="125">
        <f t="shared" si="98"/>
        <v>67356.48599999999</v>
      </c>
      <c r="GV82" s="125">
        <f t="shared" si="98"/>
        <v>59488.03800000001</v>
      </c>
      <c r="GW82" s="125">
        <f t="shared" si="98"/>
        <v>55035.819</v>
      </c>
      <c r="GX82" s="125">
        <f t="shared" si="98"/>
        <v>48141.75399999999</v>
      </c>
      <c r="GY82" s="125">
        <f t="shared" si="98"/>
        <v>65812.992</v>
      </c>
      <c r="GZ82" s="125">
        <f t="shared" si="98"/>
        <v>54841.128</v>
      </c>
      <c r="HA82" s="125">
        <f t="shared" si="98"/>
        <v>73409.318</v>
      </c>
      <c r="HB82" s="125">
        <f t="shared" si="98"/>
        <v>71031.351</v>
      </c>
      <c r="HC82" s="125">
        <f t="shared" si="98"/>
        <v>55392.475000000006</v>
      </c>
      <c r="HD82" s="125">
        <f t="shared" si="98"/>
        <v>50194.869</v>
      </c>
      <c r="HE82" s="126">
        <f>HE13+HE39+HE55+HE68+HE74+HE79</f>
        <v>61923.825</v>
      </c>
      <c r="HF82" s="126">
        <f aca="true" t="shared" si="99" ref="HF82:ID82">HF13+HF39+HF55+HF68+HF74+HF79</f>
        <v>59913.166000000005</v>
      </c>
      <c r="HG82" s="126">
        <f t="shared" si="99"/>
        <v>47694.817</v>
      </c>
      <c r="HH82" s="126">
        <f t="shared" si="99"/>
        <v>56726.691</v>
      </c>
      <c r="HI82" s="126">
        <f t="shared" si="99"/>
        <v>46920.174999999996</v>
      </c>
      <c r="HJ82" s="126">
        <f t="shared" si="99"/>
        <v>60611.861000000004</v>
      </c>
      <c r="HK82" s="126">
        <f t="shared" si="99"/>
        <v>57706.60100000001</v>
      </c>
      <c r="HL82" s="126">
        <f t="shared" si="99"/>
        <v>62225.168979999995</v>
      </c>
      <c r="HM82" s="126">
        <f t="shared" si="99"/>
        <v>85281.81405999999</v>
      </c>
      <c r="HN82" s="126">
        <f t="shared" si="99"/>
        <v>75103.24628</v>
      </c>
      <c r="HO82" s="126">
        <f t="shared" si="99"/>
        <v>111993.01899999999</v>
      </c>
      <c r="HP82" s="126">
        <f t="shared" si="99"/>
        <v>82061.59</v>
      </c>
      <c r="HQ82" s="126">
        <f t="shared" si="99"/>
        <v>76275.493</v>
      </c>
      <c r="HR82" s="126">
        <f t="shared" si="99"/>
        <v>93218.162</v>
      </c>
      <c r="HS82" s="126">
        <f t="shared" si="99"/>
        <v>74851.399</v>
      </c>
      <c r="HT82" s="126">
        <f t="shared" si="99"/>
        <v>85953.92</v>
      </c>
      <c r="HU82" s="126">
        <f t="shared" si="99"/>
        <v>64722.149000000005</v>
      </c>
      <c r="HV82" s="126">
        <f t="shared" si="99"/>
        <v>0</v>
      </c>
      <c r="HW82" s="126">
        <f t="shared" si="99"/>
        <v>0</v>
      </c>
      <c r="HX82" s="126">
        <f t="shared" si="99"/>
        <v>0</v>
      </c>
      <c r="HY82" s="126">
        <f t="shared" si="99"/>
        <v>0</v>
      </c>
      <c r="HZ82" s="126">
        <f t="shared" si="99"/>
        <v>0</v>
      </c>
      <c r="IA82" s="126">
        <f t="shared" si="99"/>
        <v>0</v>
      </c>
      <c r="IB82" s="126">
        <f t="shared" si="99"/>
        <v>0</v>
      </c>
      <c r="IC82" s="126">
        <f t="shared" si="99"/>
        <v>0</v>
      </c>
      <c r="ID82" s="126">
        <f t="shared" si="99"/>
        <v>211254.84900000002</v>
      </c>
      <c r="IE82" s="126">
        <f>IE13+IE39+IE55+IE68+IE74+IE79</f>
        <v>318745.62999999995</v>
      </c>
    </row>
    <row r="83" spans="1:239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4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49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60"/>
      <c r="IE83" s="160"/>
    </row>
    <row r="84" spans="1:239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42"/>
      <c r="FF84" s="114"/>
      <c r="FG84" s="114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14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19"/>
      <c r="IE84" s="25"/>
    </row>
    <row r="85" spans="1:239" ht="15.75">
      <c r="A85" s="106" t="s">
        <v>137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121"/>
      <c r="FF85" s="28"/>
      <c r="FG85" s="28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28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165"/>
      <c r="IE85" s="61"/>
    </row>
    <row r="86" spans="1:239" ht="15.75">
      <c r="A86" s="162" t="s">
        <v>138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17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121"/>
      <c r="FF86" s="28"/>
      <c r="FG86" s="28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28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61"/>
    </row>
    <row r="87" spans="1:239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22"/>
      <c r="FF87" s="113"/>
      <c r="FG87" s="113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13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33"/>
    </row>
    <row r="88" spans="162:237" ht="15.75">
      <c r="FF88" s="28"/>
      <c r="FG88" s="28"/>
      <c r="FS88" s="28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</row>
    <row r="89" spans="13:240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5"/>
      <c r="EE89" s="5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143"/>
      <c r="IE89" s="143"/>
      <c r="IF89" s="143"/>
    </row>
    <row r="90" spans="13:240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Z90" s="116"/>
      <c r="FA90" s="116"/>
      <c r="FB90" s="116"/>
      <c r="FC90" s="116"/>
      <c r="FD90" s="116"/>
      <c r="FN90" s="129"/>
      <c r="FO90" s="129"/>
      <c r="FP90" s="129"/>
      <c r="FQ90" s="129"/>
      <c r="FR90" s="129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</row>
    <row r="91" spans="13:240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19"/>
      <c r="EU91" s="119"/>
      <c r="EV91" s="119"/>
      <c r="EW91" s="119"/>
      <c r="EX91" s="119"/>
      <c r="EY91" s="119"/>
      <c r="EZ91" s="119"/>
      <c r="FA91" s="119"/>
      <c r="FB91" s="116"/>
      <c r="FC91" s="119"/>
      <c r="FF91" s="117"/>
      <c r="FG91" s="117"/>
      <c r="FS91" s="117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</row>
    <row r="92" spans="13:240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10"/>
      <c r="DU92" s="110"/>
      <c r="DV92" s="110"/>
      <c r="DW92" s="110"/>
      <c r="DX92" s="110"/>
      <c r="DY92" s="110"/>
      <c r="DZ92" s="110"/>
      <c r="EA92" s="110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</row>
    <row r="93" spans="13:174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18"/>
      <c r="EU93" s="117"/>
      <c r="EV93" s="117"/>
      <c r="EW93" s="117"/>
      <c r="EX93" s="117"/>
      <c r="EY93" s="117"/>
      <c r="EZ93" s="117"/>
      <c r="FA93" s="117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3:164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H94" s="128"/>
    </row>
    <row r="95" spans="13:174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</row>
    <row r="96" spans="13:149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ht="15.75">
      <c r="FH97" s="119"/>
    </row>
    <row r="98" ht="15.75">
      <c r="DN98" s="111"/>
    </row>
  </sheetData>
  <sheetProtection/>
  <mergeCells count="2">
    <mergeCell ref="A5:IE5"/>
    <mergeCell ref="A6:IE6"/>
  </mergeCells>
  <printOptions/>
  <pageMargins left="1.0236220472440944" right="0.15748031496062992" top="0.31496062992125984" bottom="0.35433070866141736" header="0.1968503937007874" footer="0.3543307086614173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2018-01-17T07:17:54Z</cp:lastPrinted>
  <dcterms:created xsi:type="dcterms:W3CDTF">2000-07-14T07:15:53Z</dcterms:created>
  <dcterms:modified xsi:type="dcterms:W3CDTF">2018-07-05T06:05:45Z</dcterms:modified>
  <cp:category/>
  <cp:version/>
  <cp:contentType/>
  <cp:contentStatus/>
</cp:coreProperties>
</file>