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8895" windowHeight="4245" activeTab="0"/>
  </bookViews>
  <sheets>
    <sheet name="V2 Français" sheetId="1" r:id="rId1"/>
  </sheets>
  <externalReferences>
    <externalReference r:id="rId4"/>
  </externalReferences>
  <definedNames>
    <definedName name="__123Graph_A" localSheetId="0" hidden="1">'V2 Français'!$E$14:$E$66</definedName>
    <definedName name="__123Graph_B" localSheetId="0" hidden="1">'V2 Français'!$F$14:$F$66</definedName>
    <definedName name="__123Graph_C" localSheetId="0" hidden="1">'V2 Français'!$G$14:$G$66</definedName>
    <definedName name="__123Graph_D" localSheetId="0" hidden="1">'V2 Français'!$H$14:$H$66</definedName>
    <definedName name="__123Graph_E" localSheetId="0" hidden="1">'V2 Français'!$I$14:$I$66</definedName>
    <definedName name="__123Graph_F" localSheetId="0" hidden="1">'V2 Français'!$J$14:$J$66</definedName>
    <definedName name="__123Graph_X" localSheetId="0" hidden="1">'V2 Français'!$A$14:$A$68</definedName>
    <definedName name="_xlnm.Print_Area" localSheetId="0">'V2 Français'!$A$1:$FP$87</definedName>
    <definedName name="Zone_impres_MI">'V2 Français'!$A$1:$I$68</definedName>
  </definedNames>
  <calcPr fullCalcOnLoad="1"/>
</workbook>
</file>

<file path=xl/sharedStrings.xml><?xml version="1.0" encoding="utf-8"?>
<sst xmlns="http://schemas.openxmlformats.org/spreadsheetml/2006/main" count="1640" uniqueCount="95">
  <si>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</si>
  <si>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</si>
  <si>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</si>
  <si>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</si>
  <si>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</si>
  <si>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</si>
  <si>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</si>
  <si>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</si>
  <si>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</si>
  <si>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</si>
  <si>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</si>
  <si>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</si>
  <si>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</si>
  <si>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</si>
  <si>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</si>
  <si>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</si>
  <si>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</si>
  <si>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</si>
  <si>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</si>
  <si>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</si>
  <si>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</si>
  <si>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</si>
  <si>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</si>
  <si>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</si>
  <si>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</si>
  <si>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</t>
  </si>
  <si>
    <t>PRODUITS DES INDUSTRIES ALIMENTAIRES</t>
  </si>
  <si>
    <t/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</si>
  <si>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</si>
  <si>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</si>
  <si>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</si>
  <si>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</si>
  <si>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</si>
  <si>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</si>
  <si>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</si>
  <si>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</si>
  <si>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</si>
  <si>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</si>
  <si>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</si>
  <si>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</si>
  <si>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</si>
  <si>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</si>
  <si>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</si>
  <si>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</si>
  <si>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</si>
  <si>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</si>
  <si>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</si>
  <si>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</si>
  <si>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MATERIEL D'EQUIPEMENT DESTINE </t>
  </si>
  <si>
    <t>AU SECTEUR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</si>
  <si>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</si>
  <si>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</si>
  <si>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</si>
  <si>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</si>
  <si>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</si>
  <si>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</si>
  <si>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</si>
  <si>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</si>
  <si>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</si>
  <si>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</si>
  <si>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</si>
  <si>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</si>
  <si>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</si>
  <si>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</si>
  <si>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Jan-Déc.</t>
  </si>
  <si>
    <t>V.2</t>
  </si>
  <si>
    <t xml:space="preserve">             -</t>
  </si>
  <si>
    <t>Période</t>
  </si>
  <si>
    <t>Produit</t>
  </si>
  <si>
    <t xml:space="preserve">         2  0</t>
  </si>
  <si>
    <t>Café</t>
  </si>
  <si>
    <t xml:space="preserve">              -</t>
  </si>
  <si>
    <t>Peaux</t>
  </si>
  <si>
    <t>Cassitérite</t>
  </si>
  <si>
    <t>Equipements</t>
  </si>
  <si>
    <t>Divers</t>
  </si>
  <si>
    <t xml:space="preserve">T O T A L </t>
  </si>
  <si>
    <t xml:space="preserve">                                                   A. ENTREES DE MARCHANDISES AU PORT DE BUJUMBURA</t>
  </si>
  <si>
    <t xml:space="preserve">                                                    B. SORTIES DE MARCHANDISES DU PORT DE BUJUMBURA</t>
  </si>
  <si>
    <t xml:space="preserve">         -</t>
  </si>
  <si>
    <t xml:space="preserve">        -</t>
  </si>
  <si>
    <t xml:space="preserve">  </t>
  </si>
  <si>
    <t xml:space="preserve">       2   0</t>
  </si>
  <si>
    <t xml:space="preserve">        </t>
  </si>
  <si>
    <t xml:space="preserve">            </t>
  </si>
  <si>
    <t>Jan-Dec.</t>
  </si>
  <si>
    <t>Jan-Déc</t>
  </si>
  <si>
    <t>Févier</t>
  </si>
  <si>
    <t>Déc</t>
  </si>
  <si>
    <t>Source : GPSB (ex-E.P.B.)</t>
  </si>
  <si>
    <t xml:space="preserve">                                            (en T) </t>
  </si>
  <si>
    <t xml:space="preserve">                                                  (en T)</t>
  </si>
  <si>
    <t>Bières</t>
  </si>
  <si>
    <t xml:space="preserve">      - Fripperie</t>
  </si>
  <si>
    <t>Jan-Juillet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</si>
</sst>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#,##0.0_);\(#,##0.0\)"/>
    <numFmt numFmtId="191" formatCode="General_)"/>
    <numFmt numFmtId="192" formatCode="_-* #,##0.0\ _F_-;\-* #,##0.0\ _F_-;_-* &quot;-&quot;??\ _F_-;_-@_-"/>
    <numFmt numFmtId="193" formatCode="_-* #,##0\ _F_-;\-* #,##0\ _F_-;_-* &quot;-&quot;??\ _F_-;_-@_-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"/>
    <numFmt numFmtId="198" formatCode="#,##0.000"/>
    <numFmt numFmtId="199" formatCode="0.0%"/>
    <numFmt numFmtId="200" formatCode="#,##0.0000"/>
    <numFmt numFmtId="201" formatCode="#,##0.00000"/>
    <numFmt numFmtId="202" formatCode="[$-40C]dddd\ d\ mmmm\ yyyy"/>
    <numFmt numFmtId="203" formatCode="_-* #,##0.0\ _€_-;\-* #,##0.0\ _€_-;_-* &quot;-&quot;?\ _€_-;_-@_-"/>
    <numFmt numFmtId="204" formatCode="0.0"/>
    <numFmt numFmtId="205" formatCode="#,##0_);\(#,##0\)"/>
    <numFmt numFmtId="206" formatCode="#,##0.0\ _€;\-#,##0.0\ _€"/>
    <numFmt numFmtId="207" formatCode="#,##0.000\ _€;\-#,##0.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7">
    <xf numFmtId="191" fontId="0" fillId="0" borderId="0" xfId="0" applyAlignment="1">
      <alignment/>
    </xf>
    <xf numFmtId="191" fontId="0" fillId="0" borderId="0" xfId="0" applyBorder="1" applyAlignment="1">
      <alignment/>
    </xf>
    <xf numFmtId="191" fontId="0" fillId="0" borderId="10" xfId="0" applyBorder="1" applyAlignment="1">
      <alignment/>
    </xf>
    <xf numFmtId="191" fontId="0" fillId="0" borderId="11" xfId="0" applyBorder="1" applyAlignment="1">
      <alignment/>
    </xf>
    <xf numFmtId="191" fontId="0" fillId="0" borderId="0" xfId="0" applyBorder="1" applyAlignment="1">
      <alignment horizontal="center"/>
    </xf>
    <xf numFmtId="191" fontId="0" fillId="0" borderId="0" xfId="0" applyBorder="1" applyAlignment="1">
      <alignment horizontal="right"/>
    </xf>
    <xf numFmtId="191" fontId="0" fillId="0" borderId="0" xfId="0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191" fontId="0" fillId="0" borderId="12" xfId="0" applyBorder="1" applyAlignment="1">
      <alignment/>
    </xf>
    <xf numFmtId="191" fontId="0" fillId="0" borderId="13" xfId="0" applyBorder="1" applyAlignment="1">
      <alignment/>
    </xf>
    <xf numFmtId="37" fontId="0" fillId="0" borderId="0" xfId="0" applyNumberFormat="1" applyBorder="1" applyAlignment="1" applyProtection="1">
      <alignment horizontal="fill"/>
      <protection/>
    </xf>
    <xf numFmtId="193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>
      <alignment horizontal="center"/>
    </xf>
    <xf numFmtId="3" fontId="0" fillId="0" borderId="0" xfId="0" applyNumberFormat="1" applyBorder="1" applyAlignment="1">
      <alignment horizontal="fill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1" fontId="0" fillId="0" borderId="0" xfId="0" applyBorder="1" applyAlignment="1">
      <alignment horizontal="fill"/>
    </xf>
    <xf numFmtId="3" fontId="0" fillId="0" borderId="0" xfId="0" applyNumberFormat="1" applyBorder="1" applyAlignment="1">
      <alignment/>
    </xf>
    <xf numFmtId="194" fontId="0" fillId="0" borderId="0" xfId="47" applyNumberFormat="1" applyFont="1" applyBorder="1" applyAlignment="1" applyProtection="1">
      <alignment/>
      <protection/>
    </xf>
    <xf numFmtId="191" fontId="0" fillId="0" borderId="15" xfId="0" applyBorder="1" applyAlignment="1">
      <alignment/>
    </xf>
    <xf numFmtId="191" fontId="0" fillId="0" borderId="10" xfId="0" applyBorder="1" applyAlignment="1">
      <alignment horizontal="center"/>
    </xf>
    <xf numFmtId="198" fontId="0" fillId="0" borderId="0" xfId="47" applyNumberFormat="1" applyFont="1" applyBorder="1" applyAlignment="1">
      <alignment/>
    </xf>
    <xf numFmtId="188" fontId="23" fillId="0" borderId="16" xfId="0" applyNumberFormat="1" applyFont="1" applyBorder="1" applyAlignment="1" applyProtection="1">
      <alignment horizontal="fill"/>
      <protection/>
    </xf>
    <xf numFmtId="188" fontId="23" fillId="0" borderId="11" xfId="0" applyNumberFormat="1" applyFont="1" applyBorder="1" applyAlignment="1" applyProtection="1">
      <alignment horizontal="fill"/>
      <protection/>
    </xf>
    <xf numFmtId="191" fontId="23" fillId="0" borderId="11" xfId="0" applyFont="1" applyBorder="1" applyAlignment="1">
      <alignment horizontal="fill"/>
    </xf>
    <xf numFmtId="37" fontId="23" fillId="0" borderId="11" xfId="0" applyNumberFormat="1" applyFont="1" applyBorder="1" applyAlignment="1" applyProtection="1">
      <alignment horizontal="fill"/>
      <protection/>
    </xf>
    <xf numFmtId="191" fontId="23" fillId="0" borderId="11" xfId="0" applyFont="1" applyBorder="1" applyAlignment="1">
      <alignment/>
    </xf>
    <xf numFmtId="186" fontId="24" fillId="0" borderId="11" xfId="49" applyFont="1" applyBorder="1" applyAlignment="1">
      <alignment horizontal="center"/>
    </xf>
    <xf numFmtId="191" fontId="24" fillId="0" borderId="11" xfId="0" applyFont="1" applyBorder="1" applyAlignment="1">
      <alignment/>
    </xf>
    <xf numFmtId="191" fontId="23" fillId="0" borderId="17" xfId="0" applyFont="1" applyBorder="1" applyAlignment="1">
      <alignment/>
    </xf>
    <xf numFmtId="188" fontId="23" fillId="0" borderId="15" xfId="0" applyNumberFormat="1" applyFont="1" applyBorder="1" applyAlignment="1" applyProtection="1">
      <alignment/>
      <protection/>
    </xf>
    <xf numFmtId="188" fontId="23" fillId="0" borderId="0" xfId="0" applyNumberFormat="1" applyFont="1" applyBorder="1" applyAlignment="1" applyProtection="1">
      <alignment/>
      <protection/>
    </xf>
    <xf numFmtId="191" fontId="23" fillId="0" borderId="0" xfId="0" applyFont="1" applyBorder="1" applyAlignment="1">
      <alignment/>
    </xf>
    <xf numFmtId="191" fontId="24" fillId="0" borderId="0" xfId="0" applyFont="1" applyBorder="1" applyAlignment="1">
      <alignment horizontal="center"/>
    </xf>
    <xf numFmtId="191" fontId="25" fillId="0" borderId="0" xfId="0" applyFont="1" applyBorder="1" applyAlignment="1">
      <alignment/>
    </xf>
    <xf numFmtId="191" fontId="23" fillId="0" borderId="15" xfId="0" applyFont="1" applyBorder="1" applyAlignment="1">
      <alignment/>
    </xf>
    <xf numFmtId="3" fontId="23" fillId="0" borderId="0" xfId="47" applyNumberFormat="1" applyFont="1" applyBorder="1" applyAlignment="1">
      <alignment/>
    </xf>
    <xf numFmtId="191" fontId="23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0" xfId="0" applyFont="1" applyBorder="1" applyAlignment="1">
      <alignment/>
    </xf>
    <xf numFmtId="191" fontId="23" fillId="0" borderId="10" xfId="0" applyFont="1" applyBorder="1" applyAlignment="1">
      <alignment/>
    </xf>
    <xf numFmtId="191" fontId="23" fillId="0" borderId="14" xfId="0" applyFont="1" applyBorder="1" applyAlignment="1">
      <alignment horizontal="fill"/>
    </xf>
    <xf numFmtId="37" fontId="23" fillId="0" borderId="14" xfId="0" applyNumberFormat="1" applyFont="1" applyBorder="1" applyAlignment="1" applyProtection="1">
      <alignment horizontal="fill"/>
      <protection/>
    </xf>
    <xf numFmtId="191" fontId="23" fillId="0" borderId="14" xfId="0" applyFont="1" applyBorder="1" applyAlignment="1">
      <alignment/>
    </xf>
    <xf numFmtId="191" fontId="23" fillId="0" borderId="14" xfId="0" applyFont="1" applyBorder="1" applyAlignment="1">
      <alignment/>
    </xf>
    <xf numFmtId="191" fontId="23" fillId="0" borderId="18" xfId="0" applyFont="1" applyBorder="1" applyAlignment="1">
      <alignment/>
    </xf>
    <xf numFmtId="191" fontId="23" fillId="0" borderId="18" xfId="0" applyFont="1" applyBorder="1" applyAlignment="1">
      <alignment/>
    </xf>
    <xf numFmtId="191" fontId="23" fillId="0" borderId="13" xfId="0" applyFont="1" applyBorder="1" applyAlignment="1">
      <alignment/>
    </xf>
    <xf numFmtId="191" fontId="23" fillId="0" borderId="12" xfId="0" applyFont="1" applyBorder="1" applyAlignment="1">
      <alignment/>
    </xf>
    <xf numFmtId="191" fontId="23" fillId="0" borderId="12" xfId="0" applyFont="1" applyBorder="1" applyAlignment="1">
      <alignment/>
    </xf>
    <xf numFmtId="191" fontId="23" fillId="0" borderId="11" xfId="0" applyFont="1" applyBorder="1" applyAlignment="1">
      <alignment/>
    </xf>
    <xf numFmtId="191" fontId="23" fillId="0" borderId="16" xfId="0" applyFont="1" applyBorder="1" applyAlignment="1">
      <alignment/>
    </xf>
    <xf numFmtId="191" fontId="23" fillId="0" borderId="17" xfId="0" applyFont="1" applyBorder="1" applyAlignment="1">
      <alignment/>
    </xf>
    <xf numFmtId="191" fontId="23" fillId="0" borderId="16" xfId="0" applyFont="1" applyBorder="1" applyAlignment="1">
      <alignment/>
    </xf>
    <xf numFmtId="188" fontId="23" fillId="0" borderId="13" xfId="0" applyNumberFormat="1" applyFont="1" applyBorder="1" applyAlignment="1" applyProtection="1">
      <alignment/>
      <protection/>
    </xf>
    <xf numFmtId="189" fontId="23" fillId="0" borderId="0" xfId="0" applyNumberFormat="1" applyFont="1" applyBorder="1" applyAlignment="1" applyProtection="1">
      <alignment horizontal="left"/>
      <protection/>
    </xf>
    <xf numFmtId="189" fontId="23" fillId="0" borderId="0" xfId="0" applyNumberFormat="1" applyFont="1" applyBorder="1" applyAlignment="1" applyProtection="1">
      <alignment horizontal="center"/>
      <protection/>
    </xf>
    <xf numFmtId="191" fontId="23" fillId="0" borderId="13" xfId="0" applyFont="1" applyBorder="1" applyAlignment="1">
      <alignment horizontal="center"/>
    </xf>
    <xf numFmtId="191" fontId="23" fillId="0" borderId="0" xfId="0" applyFont="1" applyBorder="1" applyAlignment="1">
      <alignment horizontal="left"/>
    </xf>
    <xf numFmtId="191" fontId="23" fillId="0" borderId="15" xfId="0" applyFont="1" applyBorder="1" applyAlignment="1">
      <alignment horizontal="right"/>
    </xf>
    <xf numFmtId="193" fontId="23" fillId="0" borderId="0" xfId="47" applyNumberFormat="1" applyFont="1" applyBorder="1" applyAlignment="1">
      <alignment horizontal="right"/>
    </xf>
    <xf numFmtId="193" fontId="23" fillId="0" borderId="14" xfId="47" applyNumberFormat="1" applyFont="1" applyBorder="1" applyAlignment="1">
      <alignment horizontal="right"/>
    </xf>
    <xf numFmtId="191" fontId="23" fillId="0" borderId="14" xfId="0" applyFont="1" applyBorder="1" applyAlignment="1">
      <alignment horizontal="right"/>
    </xf>
    <xf numFmtId="191" fontId="23" fillId="0" borderId="18" xfId="0" applyFont="1" applyBorder="1" applyAlignment="1">
      <alignment horizontal="left"/>
    </xf>
    <xf numFmtId="191" fontId="23" fillId="0" borderId="0" xfId="0" applyFont="1" applyBorder="1" applyAlignment="1">
      <alignment horizontal="right"/>
    </xf>
    <xf numFmtId="191" fontId="23" fillId="0" borderId="0" xfId="0" applyFont="1" applyFill="1" applyBorder="1" applyAlignment="1">
      <alignment horizontal="right"/>
    </xf>
    <xf numFmtId="191" fontId="23" fillId="0" borderId="0" xfId="0" applyFont="1" applyFill="1" applyBorder="1" applyAlignment="1">
      <alignment/>
    </xf>
    <xf numFmtId="191" fontId="23" fillId="0" borderId="15" xfId="0" applyFont="1" applyBorder="1" applyAlignment="1">
      <alignment horizontal="center"/>
    </xf>
    <xf numFmtId="3" fontId="23" fillId="0" borderId="13" xfId="47" applyNumberFormat="1" applyFont="1" applyBorder="1" applyAlignment="1">
      <alignment/>
    </xf>
    <xf numFmtId="191" fontId="23" fillId="0" borderId="10" xfId="0" applyFont="1" applyBorder="1" applyAlignment="1">
      <alignment horizontal="left"/>
    </xf>
    <xf numFmtId="191" fontId="23" fillId="0" borderId="19" xfId="0" applyFont="1" applyBorder="1" applyAlignment="1">
      <alignment shrinkToFit="1"/>
    </xf>
    <xf numFmtId="191" fontId="23" fillId="0" borderId="14" xfId="0" applyFont="1" applyBorder="1" applyAlignment="1">
      <alignment shrinkToFit="1"/>
    </xf>
    <xf numFmtId="191" fontId="23" fillId="0" borderId="14" xfId="0" applyFont="1" applyBorder="1" applyAlignment="1">
      <alignment horizontal="right" shrinkToFit="1"/>
    </xf>
    <xf numFmtId="193" fontId="23" fillId="0" borderId="14" xfId="47" applyNumberFormat="1" applyFont="1" applyBorder="1" applyAlignment="1">
      <alignment horizontal="right" shrinkToFit="1"/>
    </xf>
    <xf numFmtId="191" fontId="23" fillId="0" borderId="14" xfId="0" applyFont="1" applyBorder="1" applyAlignment="1">
      <alignment horizontal="left" shrinkToFit="1"/>
    </xf>
    <xf numFmtId="191" fontId="23" fillId="0" borderId="14" xfId="0" applyFont="1" applyBorder="1" applyAlignment="1">
      <alignment horizontal="center" shrinkToFit="1"/>
    </xf>
    <xf numFmtId="191" fontId="23" fillId="0" borderId="13" xfId="0" applyFont="1" applyBorder="1" applyAlignment="1">
      <alignment shrinkToFit="1"/>
    </xf>
    <xf numFmtId="191" fontId="23" fillId="0" borderId="20" xfId="0" applyFont="1" applyBorder="1" applyAlignment="1">
      <alignment shrinkToFit="1"/>
    </xf>
    <xf numFmtId="191" fontId="23" fillId="0" borderId="18" xfId="0" applyFont="1" applyBorder="1" applyAlignment="1">
      <alignment shrinkToFit="1"/>
    </xf>
    <xf numFmtId="191" fontId="23" fillId="0" borderId="19" xfId="0" applyFont="1" applyBorder="1" applyAlignment="1">
      <alignment/>
    </xf>
    <xf numFmtId="191" fontId="23" fillId="0" borderId="2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191" fontId="23" fillId="0" borderId="11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2" xfId="0" applyFont="1" applyBorder="1" applyAlignment="1">
      <alignment horizontal="center"/>
    </xf>
    <xf numFmtId="191" fontId="23" fillId="0" borderId="10" xfId="0" applyFont="1" applyBorder="1" applyAlignment="1">
      <alignment horizontal="right"/>
    </xf>
    <xf numFmtId="191" fontId="23" fillId="0" borderId="13" xfId="0" applyFont="1" applyBorder="1" applyAlignment="1">
      <alignment horizontal="right"/>
    </xf>
    <xf numFmtId="191" fontId="23" fillId="0" borderId="16" xfId="0" applyFont="1" applyBorder="1" applyAlignment="1">
      <alignment horizontal="center"/>
    </xf>
    <xf numFmtId="37" fontId="23" fillId="0" borderId="19" xfId="0" applyNumberFormat="1" applyFont="1" applyBorder="1" applyAlignment="1" applyProtection="1">
      <alignment horizontal="fill"/>
      <protection/>
    </xf>
    <xf numFmtId="191" fontId="23" fillId="0" borderId="19" xfId="0" applyFont="1" applyBorder="1" applyAlignment="1">
      <alignment horizontal="fill"/>
    </xf>
    <xf numFmtId="191" fontId="23" fillId="0" borderId="18" xfId="0" applyFont="1" applyBorder="1" applyAlignment="1">
      <alignment horizontal="fill"/>
    </xf>
    <xf numFmtId="191" fontId="23" fillId="0" borderId="20" xfId="0" applyFont="1" applyBorder="1" applyAlignment="1">
      <alignment horizontal="fill"/>
    </xf>
    <xf numFmtId="37" fontId="23" fillId="0" borderId="11" xfId="0" applyNumberFormat="1" applyFont="1" applyBorder="1" applyAlignment="1" applyProtection="1">
      <alignment/>
      <protection/>
    </xf>
    <xf numFmtId="191" fontId="23" fillId="0" borderId="10" xfId="0" applyFont="1" applyFill="1" applyBorder="1" applyAlignment="1">
      <alignment/>
    </xf>
    <xf numFmtId="188" fontId="23" fillId="0" borderId="13" xfId="0" applyNumberFormat="1" applyFont="1" applyBorder="1" applyAlignment="1" applyProtection="1">
      <alignment horizontal="left"/>
      <protection/>
    </xf>
    <xf numFmtId="3" fontId="23" fillId="0" borderId="0" xfId="47" applyNumberFormat="1" applyFont="1" applyBorder="1" applyAlignment="1" applyProtection="1">
      <alignment/>
      <protection/>
    </xf>
    <xf numFmtId="3" fontId="23" fillId="0" borderId="13" xfId="47" applyNumberFormat="1" applyFont="1" applyBorder="1" applyAlignment="1" applyProtection="1">
      <alignment/>
      <protection/>
    </xf>
    <xf numFmtId="3" fontId="23" fillId="0" borderId="10" xfId="47" applyNumberFormat="1" applyFont="1" applyBorder="1" applyAlignment="1" applyProtection="1">
      <alignment/>
      <protection/>
    </xf>
    <xf numFmtId="3" fontId="23" fillId="0" borderId="10" xfId="47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47" applyNumberFormat="1" applyFont="1" applyBorder="1" applyAlignment="1" applyProtection="1">
      <alignment horizontal="left"/>
      <protection/>
    </xf>
    <xf numFmtId="3" fontId="23" fillId="0" borderId="13" xfId="47" applyNumberFormat="1" applyFont="1" applyBorder="1" applyAlignment="1" applyProtection="1">
      <alignment horizontal="left"/>
      <protection/>
    </xf>
    <xf numFmtId="192" fontId="23" fillId="0" borderId="13" xfId="47" applyNumberFormat="1" applyFont="1" applyBorder="1" applyAlignment="1" applyProtection="1">
      <alignment horizontal="right"/>
      <protection/>
    </xf>
    <xf numFmtId="3" fontId="23" fillId="0" borderId="10" xfId="47" applyNumberFormat="1" applyFont="1" applyFill="1" applyBorder="1" applyAlignment="1">
      <alignment/>
    </xf>
    <xf numFmtId="3" fontId="23" fillId="0" borderId="13" xfId="47" applyNumberFormat="1" applyFont="1" applyBorder="1" applyAlignment="1" applyProtection="1">
      <alignment horizontal="right"/>
      <protection/>
    </xf>
    <xf numFmtId="3" fontId="23" fillId="0" borderId="0" xfId="47" applyNumberFormat="1" applyFont="1" applyBorder="1" applyAlignment="1" applyProtection="1">
      <alignment horizontal="right"/>
      <protection/>
    </xf>
    <xf numFmtId="3" fontId="23" fillId="0" borderId="13" xfId="47" applyNumberFormat="1" applyFont="1" applyBorder="1" applyAlignment="1" applyProtection="1">
      <alignment horizontal="center"/>
      <protection/>
    </xf>
    <xf numFmtId="3" fontId="23" fillId="0" borderId="13" xfId="47" applyNumberFormat="1" applyFont="1" applyBorder="1" applyAlignment="1">
      <alignment horizontal="right"/>
    </xf>
    <xf numFmtId="3" fontId="23" fillId="0" borderId="10" xfId="47" applyNumberFormat="1" applyFont="1" applyBorder="1" applyAlignment="1" applyProtection="1">
      <alignment horizontal="right"/>
      <protection/>
    </xf>
    <xf numFmtId="37" fontId="23" fillId="0" borderId="0" xfId="0" applyNumberFormat="1" applyFont="1" applyBorder="1" applyAlignment="1" applyProtection="1">
      <alignment horizontal="right"/>
      <protection/>
    </xf>
    <xf numFmtId="3" fontId="23" fillId="0" borderId="13" xfId="47" applyNumberFormat="1" applyFont="1" applyBorder="1" applyAlignment="1">
      <alignment horizontal="center"/>
    </xf>
    <xf numFmtId="3" fontId="23" fillId="0" borderId="10" xfId="47" applyNumberFormat="1" applyFont="1" applyBorder="1" applyAlignment="1" applyProtection="1">
      <alignment horizontal="center"/>
      <protection/>
    </xf>
    <xf numFmtId="3" fontId="23" fillId="0" borderId="13" xfId="47" applyNumberFormat="1" applyFont="1" applyBorder="1" applyAlignment="1" applyProtection="1">
      <alignment/>
      <protection/>
    </xf>
    <xf numFmtId="4" fontId="23" fillId="0" borderId="10" xfId="0" applyNumberFormat="1" applyFont="1" applyBorder="1" applyAlignment="1">
      <alignment/>
    </xf>
    <xf numFmtId="3" fontId="23" fillId="0" borderId="10" xfId="47" applyNumberFormat="1" applyFont="1" applyFill="1" applyBorder="1" applyAlignment="1" applyProtection="1">
      <alignment horizontal="right"/>
      <protection/>
    </xf>
    <xf numFmtId="3" fontId="23" fillId="0" borderId="10" xfId="47" applyNumberFormat="1" applyFont="1" applyBorder="1" applyAlignment="1">
      <alignment horizontal="right"/>
    </xf>
    <xf numFmtId="37" fontId="23" fillId="0" borderId="0" xfId="0" applyNumberFormat="1" applyFont="1" applyBorder="1" applyAlignment="1" applyProtection="1">
      <alignment horizontal="left"/>
      <protection/>
    </xf>
    <xf numFmtId="3" fontId="23" fillId="0" borderId="0" xfId="47" applyNumberFormat="1" applyFont="1" applyBorder="1" applyAlignment="1">
      <alignment horizontal="right"/>
    </xf>
    <xf numFmtId="3" fontId="23" fillId="33" borderId="10" xfId="47" applyNumberFormat="1" applyFont="1" applyFill="1" applyBorder="1" applyAlignment="1">
      <alignment/>
    </xf>
    <xf numFmtId="3" fontId="23" fillId="0" borderId="10" xfId="47" applyNumberFormat="1" applyFont="1" applyBorder="1" applyAlignment="1">
      <alignment horizontal="left" indent="5"/>
    </xf>
    <xf numFmtId="3" fontId="23" fillId="0" borderId="0" xfId="47" applyNumberFormat="1" applyFont="1" applyBorder="1" applyAlignment="1" applyProtection="1">
      <alignment/>
      <protection/>
    </xf>
    <xf numFmtId="3" fontId="23" fillId="0" borderId="10" xfId="47" applyNumberFormat="1" applyFont="1" applyBorder="1" applyAlignment="1">
      <alignment horizontal="center"/>
    </xf>
    <xf numFmtId="191" fontId="23" fillId="0" borderId="0" xfId="0" applyFont="1" applyAlignment="1">
      <alignment/>
    </xf>
    <xf numFmtId="192" fontId="23" fillId="0" borderId="13" xfId="47" applyNumberFormat="1" applyFont="1" applyBorder="1" applyAlignment="1" applyProtection="1">
      <alignment/>
      <protection/>
    </xf>
    <xf numFmtId="192" fontId="23" fillId="0" borderId="13" xfId="47" applyNumberFormat="1" applyFont="1" applyBorder="1" applyAlignment="1" applyProtection="1">
      <alignment horizontal="center"/>
      <protection/>
    </xf>
    <xf numFmtId="37" fontId="23" fillId="0" borderId="13" xfId="0" applyNumberFormat="1" applyFont="1" applyBorder="1" applyAlignment="1" applyProtection="1">
      <alignment horizontal="left"/>
      <protection/>
    </xf>
    <xf numFmtId="192" fontId="23" fillId="0" borderId="10" xfId="47" applyNumberFormat="1" applyFont="1" applyBorder="1" applyAlignment="1" applyProtection="1">
      <alignment horizontal="right"/>
      <protection/>
    </xf>
    <xf numFmtId="192" fontId="23" fillId="0" borderId="10" xfId="47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Border="1" applyAlignment="1" applyProtection="1">
      <alignment horizontal="right"/>
      <protection/>
    </xf>
    <xf numFmtId="3" fontId="23" fillId="34" borderId="10" xfId="47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 horizontal="fill"/>
      <protection/>
    </xf>
    <xf numFmtId="3" fontId="23" fillId="0" borderId="19" xfId="0" applyNumberFormat="1" applyFont="1" applyBorder="1" applyAlignment="1" applyProtection="1">
      <alignment horizontal="fill"/>
      <protection/>
    </xf>
    <xf numFmtId="3" fontId="23" fillId="0" borderId="18" xfId="0" applyNumberFormat="1" applyFont="1" applyBorder="1" applyAlignment="1" applyProtection="1">
      <alignment horizontal="fill"/>
      <protection/>
    </xf>
    <xf numFmtId="3" fontId="23" fillId="0" borderId="18" xfId="47" applyNumberFormat="1" applyFont="1" applyBorder="1" applyAlignment="1" applyProtection="1">
      <alignment/>
      <protection/>
    </xf>
    <xf numFmtId="3" fontId="23" fillId="0" borderId="19" xfId="47" applyNumberFormat="1" applyFont="1" applyBorder="1" applyAlignment="1" applyProtection="1">
      <alignment/>
      <protection/>
    </xf>
    <xf numFmtId="3" fontId="23" fillId="0" borderId="19" xfId="47" applyNumberFormat="1" applyFont="1" applyBorder="1" applyAlignment="1" applyProtection="1">
      <alignment horizontal="right"/>
      <protection/>
    </xf>
    <xf numFmtId="3" fontId="23" fillId="0" borderId="13" xfId="0" applyNumberFormat="1" applyFont="1" applyBorder="1" applyAlignment="1" applyProtection="1">
      <alignment horizontal="fill"/>
      <protection/>
    </xf>
    <xf numFmtId="3" fontId="23" fillId="0" borderId="18" xfId="47" applyNumberFormat="1" applyFont="1" applyBorder="1" applyAlignment="1" applyProtection="1">
      <alignment horizontal="right"/>
      <protection/>
    </xf>
    <xf numFmtId="3" fontId="23" fillId="0" borderId="19" xfId="0" applyNumberFormat="1" applyFont="1" applyBorder="1" applyAlignment="1" applyProtection="1">
      <alignment horizontal="right"/>
      <protection/>
    </xf>
    <xf numFmtId="3" fontId="23" fillId="0" borderId="19" xfId="47" applyNumberFormat="1" applyFont="1" applyBorder="1" applyAlignment="1">
      <alignment/>
    </xf>
    <xf numFmtId="3" fontId="23" fillId="0" borderId="18" xfId="47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11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/>
    </xf>
    <xf numFmtId="3" fontId="23" fillId="0" borderId="17" xfId="0" applyNumberFormat="1" applyFont="1" applyBorder="1" applyAlignment="1" applyProtection="1">
      <alignment/>
      <protection/>
    </xf>
    <xf numFmtId="3" fontId="23" fillId="0" borderId="17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2" xfId="47" applyNumberFormat="1" applyFont="1" applyBorder="1" applyAlignment="1" applyProtection="1">
      <alignment horizontal="right"/>
      <protection/>
    </xf>
    <xf numFmtId="3" fontId="23" fillId="0" borderId="12" xfId="47" applyNumberFormat="1" applyFont="1" applyBorder="1" applyAlignment="1" applyProtection="1">
      <alignment/>
      <protection/>
    </xf>
    <xf numFmtId="3" fontId="23" fillId="0" borderId="12" xfId="47" applyNumberFormat="1" applyFont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3" fillId="0" borderId="12" xfId="47" applyNumberFormat="1" applyFont="1" applyFill="1" applyBorder="1" applyAlignment="1">
      <alignment/>
    </xf>
    <xf numFmtId="191" fontId="23" fillId="0" borderId="13" xfId="0" applyFont="1" applyBorder="1" applyAlignment="1">
      <alignment horizontal="left"/>
    </xf>
    <xf numFmtId="3" fontId="23" fillId="0" borderId="0" xfId="0" applyNumberFormat="1" applyFont="1" applyBorder="1" applyAlignment="1" applyProtection="1">
      <alignment horizontal="fill"/>
      <protection/>
    </xf>
    <xf numFmtId="3" fontId="23" fillId="0" borderId="13" xfId="0" applyNumberFormat="1" applyFont="1" applyBorder="1" applyAlignment="1" applyProtection="1">
      <alignment/>
      <protection/>
    </xf>
    <xf numFmtId="3" fontId="23" fillId="0" borderId="13" xfId="0" applyNumberFormat="1" applyFont="1" applyBorder="1" applyAlignment="1" applyProtection="1">
      <alignment horizontal="right"/>
      <protection/>
    </xf>
    <xf numFmtId="3" fontId="23" fillId="0" borderId="14" xfId="0" applyNumberFormat="1" applyFont="1" applyBorder="1" applyAlignment="1">
      <alignment/>
    </xf>
    <xf numFmtId="3" fontId="23" fillId="0" borderId="14" xfId="47" applyNumberFormat="1" applyFont="1" applyBorder="1" applyAlignment="1" applyProtection="1">
      <alignment/>
      <protection/>
    </xf>
    <xf numFmtId="3" fontId="23" fillId="0" borderId="18" xfId="47" applyNumberFormat="1" applyFont="1" applyFill="1" applyBorder="1" applyAlignment="1">
      <alignment/>
    </xf>
    <xf numFmtId="3" fontId="23" fillId="0" borderId="19" xfId="0" applyNumberFormat="1" applyFont="1" applyBorder="1" applyAlignment="1">
      <alignment/>
    </xf>
    <xf numFmtId="193" fontId="23" fillId="0" borderId="11" xfId="47" applyNumberFormat="1" applyFont="1" applyBorder="1" applyAlignment="1" applyProtection="1">
      <alignment/>
      <protection/>
    </xf>
    <xf numFmtId="3" fontId="23" fillId="0" borderId="11" xfId="47" applyNumberFormat="1" applyFont="1" applyBorder="1" applyAlignment="1">
      <alignment/>
    </xf>
    <xf numFmtId="3" fontId="23" fillId="0" borderId="11" xfId="47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>
      <alignment/>
    </xf>
    <xf numFmtId="193" fontId="23" fillId="0" borderId="14" xfId="47" applyNumberFormat="1" applyFont="1" applyBorder="1" applyAlignment="1" applyProtection="1">
      <alignment/>
      <protection/>
    </xf>
    <xf numFmtId="3" fontId="23" fillId="0" borderId="14" xfId="47" applyNumberFormat="1" applyFont="1" applyBorder="1" applyAlignment="1" applyProtection="1">
      <alignment horizontal="right"/>
      <protection/>
    </xf>
    <xf numFmtId="3" fontId="23" fillId="0" borderId="14" xfId="47" applyNumberFormat="1" applyFont="1" applyBorder="1" applyAlignment="1">
      <alignment/>
    </xf>
    <xf numFmtId="3" fontId="23" fillId="0" borderId="14" xfId="47" applyNumberFormat="1" applyFont="1" applyFill="1" applyBorder="1" applyAlignment="1">
      <alignment/>
    </xf>
    <xf numFmtId="191" fontId="23" fillId="0" borderId="13" xfId="0" applyFont="1" applyBorder="1" applyAlignment="1">
      <alignment horizontal="fill"/>
    </xf>
    <xf numFmtId="37" fontId="23" fillId="0" borderId="0" xfId="0" applyNumberFormat="1" applyFont="1" applyBorder="1" applyAlignment="1" applyProtection="1">
      <alignment horizontal="fill"/>
      <protection/>
    </xf>
    <xf numFmtId="37" fontId="23" fillId="0" borderId="10" xfId="0" applyNumberFormat="1" applyFont="1" applyBorder="1" applyAlignment="1" applyProtection="1">
      <alignment horizontal="fill"/>
      <protection/>
    </xf>
    <xf numFmtId="191" fontId="23" fillId="0" borderId="10" xfId="0" applyFont="1" applyBorder="1" applyAlignment="1">
      <alignment horizontal="fill"/>
    </xf>
    <xf numFmtId="37" fontId="23" fillId="0" borderId="13" xfId="0" applyNumberFormat="1" applyFont="1" applyBorder="1" applyAlignment="1" applyProtection="1">
      <alignment horizontal="fill"/>
      <protection/>
    </xf>
    <xf numFmtId="193" fontId="23" fillId="0" borderId="10" xfId="47" applyNumberFormat="1" applyFont="1" applyBorder="1" applyAlignment="1" applyProtection="1">
      <alignment/>
      <protection/>
    </xf>
    <xf numFmtId="193" fontId="23" fillId="0" borderId="13" xfId="47" applyNumberFormat="1" applyFont="1" applyBorder="1" applyAlignment="1" applyProtection="1">
      <alignment/>
      <protection/>
    </xf>
    <xf numFmtId="37" fontId="23" fillId="0" borderId="12" xfId="0" applyNumberFormat="1" applyFont="1" applyBorder="1" applyAlignment="1" applyProtection="1">
      <alignment horizontal="fill"/>
      <protection/>
    </xf>
    <xf numFmtId="37" fontId="23" fillId="0" borderId="17" xfId="0" applyNumberFormat="1" applyFont="1" applyBorder="1" applyAlignment="1" applyProtection="1">
      <alignment horizontal="fill"/>
      <protection/>
    </xf>
    <xf numFmtId="3" fontId="23" fillId="0" borderId="15" xfId="47" applyNumberFormat="1" applyFont="1" applyBorder="1" applyAlignment="1">
      <alignment horizontal="right"/>
    </xf>
    <xf numFmtId="192" fontId="23" fillId="0" borderId="10" xfId="47" applyNumberFormat="1" applyFont="1" applyBorder="1" applyAlignment="1" applyProtection="1">
      <alignment horizontal="center"/>
      <protection/>
    </xf>
    <xf numFmtId="191" fontId="23" fillId="0" borderId="0" xfId="0" applyFont="1" applyBorder="1" applyAlignment="1">
      <alignment horizontal="fill"/>
    </xf>
    <xf numFmtId="3" fontId="23" fillId="0" borderId="0" xfId="0" applyNumberFormat="1" applyFont="1" applyBorder="1" applyAlignment="1">
      <alignment horizontal="fill"/>
    </xf>
    <xf numFmtId="3" fontId="23" fillId="0" borderId="13" xfId="0" applyNumberFormat="1" applyFont="1" applyBorder="1" applyAlignment="1">
      <alignment horizontal="fill"/>
    </xf>
    <xf numFmtId="3" fontId="23" fillId="0" borderId="10" xfId="0" applyNumberFormat="1" applyFont="1" applyBorder="1" applyAlignment="1">
      <alignment horizontal="fill"/>
    </xf>
    <xf numFmtId="3" fontId="23" fillId="0" borderId="19" xfId="0" applyNumberFormat="1" applyFont="1" applyBorder="1" applyAlignment="1">
      <alignment horizontal="fill"/>
    </xf>
    <xf numFmtId="3" fontId="23" fillId="0" borderId="12" xfId="0" applyNumberFormat="1" applyFont="1" applyBorder="1" applyAlignment="1" applyProtection="1">
      <alignment horizontal="left"/>
      <protection/>
    </xf>
    <xf numFmtId="3" fontId="23" fillId="0" borderId="11" xfId="0" applyNumberFormat="1" applyFont="1" applyBorder="1" applyAlignment="1" applyProtection="1">
      <alignment horizontal="left"/>
      <protection/>
    </xf>
    <xf numFmtId="3" fontId="23" fillId="0" borderId="17" xfId="47" applyNumberFormat="1" applyFont="1" applyBorder="1" applyAlignment="1" applyProtection="1">
      <alignment/>
      <protection/>
    </xf>
    <xf numFmtId="3" fontId="23" fillId="0" borderId="17" xfId="47" applyNumberFormat="1" applyFont="1" applyBorder="1" applyAlignment="1">
      <alignment/>
    </xf>
    <xf numFmtId="191" fontId="23" fillId="0" borderId="19" xfId="0" applyFont="1" applyBorder="1" applyAlignment="1">
      <alignment/>
    </xf>
    <xf numFmtId="191" fontId="23" fillId="0" borderId="20" xfId="0" applyFont="1" applyBorder="1" applyAlignment="1">
      <alignment/>
    </xf>
    <xf numFmtId="191" fontId="44" fillId="0" borderId="0" xfId="0" applyFont="1" applyBorder="1" applyAlignment="1">
      <alignment/>
    </xf>
    <xf numFmtId="9" fontId="23" fillId="0" borderId="0" xfId="52" applyFont="1" applyBorder="1" applyAlignment="1">
      <alignment/>
    </xf>
    <xf numFmtId="188" fontId="23" fillId="0" borderId="12" xfId="0" applyNumberFormat="1" applyFont="1" applyBorder="1" applyAlignment="1" applyProtection="1">
      <alignment/>
      <protection/>
    </xf>
    <xf numFmtId="192" fontId="23" fillId="0" borderId="10" xfId="47" applyNumberFormat="1" applyFont="1" applyFill="1" applyBorder="1" applyAlignment="1" applyProtection="1">
      <alignment horizontal="center"/>
      <protection/>
    </xf>
    <xf numFmtId="3" fontId="23" fillId="0" borderId="10" xfId="0" applyNumberFormat="1" applyFont="1" applyFill="1" applyBorder="1" applyAlignment="1">
      <alignment/>
    </xf>
    <xf numFmtId="191" fontId="23" fillId="0" borderId="10" xfId="0" applyFont="1" applyBorder="1" applyAlignment="1">
      <alignment horizontal="center"/>
    </xf>
    <xf numFmtId="41" fontId="23" fillId="0" borderId="10" xfId="47" applyNumberFormat="1" applyFont="1" applyBorder="1" applyAlignment="1" applyProtection="1">
      <alignment horizontal="right"/>
      <protection/>
    </xf>
    <xf numFmtId="191" fontId="23" fillId="0" borderId="1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88" fontId="24" fillId="0" borderId="20" xfId="0" applyNumberFormat="1" applyFont="1" applyBorder="1" applyAlignment="1" applyProtection="1">
      <alignment horizontal="center"/>
      <protection/>
    </xf>
    <xf numFmtId="188" fontId="24" fillId="0" borderId="14" xfId="0" applyNumberFormat="1" applyFont="1" applyBorder="1" applyAlignment="1" applyProtection="1">
      <alignment horizontal="center"/>
      <protection/>
    </xf>
    <xf numFmtId="191" fontId="24" fillId="0" borderId="0" xfId="0" applyFont="1" applyBorder="1" applyAlignment="1">
      <alignment horizontal="center"/>
    </xf>
    <xf numFmtId="3" fontId="23" fillId="0" borderId="11" xfId="47" applyNumberFormat="1" applyFont="1" applyFill="1" applyBorder="1" applyAlignment="1">
      <alignment/>
    </xf>
    <xf numFmtId="191" fontId="23" fillId="0" borderId="15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41" fontId="23" fillId="0" borderId="13" xfId="0" applyNumberFormat="1" applyFont="1" applyFill="1" applyBorder="1" applyAlignment="1">
      <alignment horizontal="right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4" fillId="0" borderId="18" xfId="0" applyNumberFormat="1" applyFont="1" applyBorder="1" applyAlignment="1" applyProtection="1">
      <alignment horizontal="center"/>
      <protection/>
    </xf>
    <xf numFmtId="41" fontId="23" fillId="0" borderId="10" xfId="0" applyNumberFormat="1" applyFont="1" applyFill="1" applyBorder="1" applyAlignment="1">
      <alignment horizontal="right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207" fontId="0" fillId="0" borderId="0" xfId="0" applyNumberForma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41" fontId="23" fillId="0" borderId="13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8" fontId="0" fillId="0" borderId="0" xfId="0" applyNumberFormat="1" applyBorder="1" applyAlignment="1">
      <alignment/>
    </xf>
    <xf numFmtId="188" fontId="24" fillId="0" borderId="19" xfId="0" applyNumberFormat="1" applyFont="1" applyBorder="1" applyAlignment="1" applyProtection="1">
      <alignment horizontal="left"/>
      <protection/>
    </xf>
    <xf numFmtId="188" fontId="24" fillId="0" borderId="13" xfId="0" applyNumberFormat="1" applyFont="1" applyBorder="1" applyAlignment="1" applyProtection="1">
      <alignment horizontal="right"/>
      <protection/>
    </xf>
    <xf numFmtId="188" fontId="24" fillId="0" borderId="13" xfId="0" applyNumberFormat="1" applyFont="1" applyBorder="1" applyAlignment="1" applyProtection="1">
      <alignment horizontal="left"/>
      <protection/>
    </xf>
    <xf numFmtId="191" fontId="24" fillId="0" borderId="13" xfId="0" applyFont="1" applyBorder="1" applyAlignment="1">
      <alignment horizontal="left"/>
    </xf>
    <xf numFmtId="191" fontId="24" fillId="0" borderId="15" xfId="0" applyFont="1" applyBorder="1" applyAlignment="1">
      <alignment horizontal="left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15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6" xfId="0" applyFont="1" applyBorder="1" applyAlignment="1">
      <alignment horizontal="center"/>
    </xf>
    <xf numFmtId="191" fontId="23" fillId="0" borderId="11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5" xfId="0" applyFont="1" applyBorder="1" applyAlignment="1">
      <alignment horizontal="center"/>
    </xf>
    <xf numFmtId="191" fontId="23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20" xfId="0" applyFont="1" applyBorder="1" applyAlignment="1">
      <alignment horizontal="center"/>
    </xf>
    <xf numFmtId="191" fontId="23" fillId="0" borderId="14" xfId="0" applyFont="1" applyBorder="1" applyAlignment="1">
      <alignment horizontal="center"/>
    </xf>
    <xf numFmtId="191" fontId="23" fillId="0" borderId="18" xfId="0" applyFont="1" applyBorder="1" applyAlignment="1">
      <alignment horizontal="center"/>
    </xf>
    <xf numFmtId="188" fontId="25" fillId="0" borderId="15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15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15" xfId="0" applyFont="1" applyBorder="1" applyAlignment="1">
      <alignment horizontal="center"/>
    </xf>
    <xf numFmtId="191" fontId="2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9</xdr:row>
      <xdr:rowOff>152400</xdr:rowOff>
    </xdr:to>
    <xdr:sp>
      <xdr:nvSpPr>
        <xdr:cNvPr id="2" name="Line 3"/>
        <xdr:cNvSpPr>
          <a:spLocks/>
        </xdr:cNvSpPr>
      </xdr:nvSpPr>
      <xdr:spPr>
        <a:xfrm>
          <a:off x="9525" y="1085850"/>
          <a:ext cx="3495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6\Documents\dossierisidonie\REEL\Bulletin\Bulletin%202015\Mai\STATS%20PORT'm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,2 English"/>
      <sheetName val="A"/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142"/>
  <sheetViews>
    <sheetView showGridLines="0" tabSelected="1" zoomScalePageLayoutView="0" workbookViewId="0" topLeftCell="A1">
      <pane xSplit="1" ySplit="11" topLeftCell="FH7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R15" sqref="FR15"/>
    </sheetView>
  </sheetViews>
  <sheetFormatPr defaultColWidth="12.6640625" defaultRowHeight="15.75"/>
  <cols>
    <col min="1" max="1" width="40.88671875" style="0" customWidth="1"/>
    <col min="2" max="8" width="7.77734375" style="0" hidden="1" customWidth="1"/>
    <col min="9" max="13" width="10.77734375" style="0" hidden="1" customWidth="1"/>
    <col min="14" max="14" width="8.88671875" style="0" hidden="1" customWidth="1"/>
    <col min="15" max="15" width="9.88671875" style="0" hidden="1" customWidth="1"/>
    <col min="16" max="18" width="8.99609375" style="0" hidden="1" customWidth="1"/>
    <col min="19" max="31" width="8.88671875" style="0" hidden="1" customWidth="1"/>
    <col min="32" max="35" width="8.99609375" style="0" hidden="1" customWidth="1"/>
    <col min="36" max="39" width="9.10546875" style="0" hidden="1" customWidth="1"/>
    <col min="40" max="40" width="8.99609375" style="0" hidden="1" customWidth="1"/>
    <col min="41" max="41" width="9.10546875" style="0" hidden="1" customWidth="1"/>
    <col min="42" max="42" width="8.99609375" style="0" hidden="1" customWidth="1"/>
    <col min="43" max="43" width="8.88671875" style="0" hidden="1" customWidth="1"/>
    <col min="44" max="44" width="9.99609375" style="0" hidden="1" customWidth="1"/>
    <col min="45" max="45" width="8.5546875" style="0" hidden="1" customWidth="1"/>
    <col min="46" max="46" width="9.10546875" style="0" hidden="1" customWidth="1"/>
    <col min="47" max="47" width="8.88671875" style="0" hidden="1" customWidth="1"/>
    <col min="48" max="49" width="9.99609375" style="0" hidden="1" customWidth="1"/>
    <col min="50" max="50" width="9.4453125" style="0" hidden="1" customWidth="1"/>
    <col min="51" max="51" width="9.99609375" style="0" hidden="1" customWidth="1"/>
    <col min="52" max="52" width="8.88671875" style="1" hidden="1" customWidth="1"/>
    <col min="53" max="55" width="9.10546875" style="1" hidden="1" customWidth="1"/>
    <col min="56" max="60" width="9.10546875" style="1" customWidth="1"/>
    <col min="61" max="61" width="9.99609375" style="1" hidden="1" customWidth="1"/>
    <col min="62" max="63" width="9.10546875" style="1" hidden="1" customWidth="1"/>
    <col min="64" max="64" width="8.6640625" style="1" hidden="1" customWidth="1"/>
    <col min="65" max="65" width="9.88671875" style="1" hidden="1" customWidth="1"/>
    <col min="66" max="66" width="8.6640625" style="1" hidden="1" customWidth="1"/>
    <col min="67" max="67" width="9.10546875" style="1" hidden="1" customWidth="1"/>
    <col min="68" max="68" width="8.6640625" style="1" hidden="1" customWidth="1"/>
    <col min="69" max="70" width="9.99609375" style="1" hidden="1" customWidth="1"/>
    <col min="71" max="71" width="9.4453125" style="1" hidden="1" customWidth="1"/>
    <col min="72" max="72" width="9.99609375" style="1" hidden="1" customWidth="1"/>
    <col min="73" max="73" width="9.10546875" style="1" hidden="1" customWidth="1"/>
    <col min="74" max="75" width="9.99609375" style="1" hidden="1" customWidth="1"/>
    <col min="76" max="76" width="9.10546875" style="1" hidden="1" customWidth="1"/>
    <col min="77" max="87" width="9.99609375" style="1" hidden="1" customWidth="1"/>
    <col min="88" max="99" width="10.6640625" style="1" hidden="1" customWidth="1"/>
    <col min="100" max="100" width="9.10546875" style="0" hidden="1" customWidth="1"/>
    <col min="101" max="111" width="10.6640625" style="1" hidden="1" customWidth="1"/>
    <col min="112" max="124" width="10.6640625" style="0" hidden="1" customWidth="1"/>
    <col min="125" max="125" width="10.4453125" style="0" hidden="1" customWidth="1"/>
    <col min="126" max="126" width="10.6640625" style="0" hidden="1" customWidth="1"/>
    <col min="127" max="137" width="10.4453125" style="0" hidden="1" customWidth="1"/>
    <col min="138" max="138" width="10.6640625" style="0" hidden="1" customWidth="1"/>
    <col min="139" max="139" width="10.4453125" style="0" hidden="1" customWidth="1"/>
    <col min="140" max="150" width="10.6640625" style="0" hidden="1" customWidth="1"/>
    <col min="151" max="157" width="10.4453125" style="0" hidden="1" customWidth="1"/>
    <col min="158" max="158" width="10.4453125" style="0" customWidth="1"/>
    <col min="159" max="163" width="10.4453125" style="0" hidden="1" customWidth="1"/>
    <col min="164" max="164" width="10.4453125" style="0" customWidth="1"/>
    <col min="165" max="170" width="10.4453125" style="0" hidden="1" customWidth="1"/>
    <col min="171" max="172" width="10.4453125" style="0" customWidth="1"/>
    <col min="173" max="174" width="9.88671875" style="0" customWidth="1"/>
  </cols>
  <sheetData>
    <row r="1" spans="1:174" ht="15.75">
      <c r="A1" s="31"/>
      <c r="B1" s="32"/>
      <c r="C1" s="32"/>
      <c r="D1" s="32"/>
      <c r="E1" s="33"/>
      <c r="F1" s="33"/>
      <c r="G1" s="33"/>
      <c r="H1" s="33"/>
      <c r="I1" s="33"/>
      <c r="J1" s="33"/>
      <c r="K1" s="34"/>
      <c r="L1" s="34"/>
      <c r="M1" s="33"/>
      <c r="N1" s="33" t="s">
        <v>81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 t="s">
        <v>84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6"/>
      <c r="BJ1" s="33"/>
      <c r="BK1" s="33"/>
      <c r="BL1" s="33"/>
      <c r="BM1" s="33"/>
      <c r="BN1" s="33"/>
      <c r="BO1" s="33"/>
      <c r="BP1" s="33"/>
      <c r="BQ1" s="33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7"/>
      <c r="CU1" s="37"/>
      <c r="CV1" s="35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8"/>
      <c r="FQ1" s="3"/>
      <c r="FR1" s="3"/>
    </row>
    <row r="2" spans="1:174" ht="18.75">
      <c r="A2" s="39"/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2"/>
      <c r="AQ2" s="41"/>
      <c r="AR2" s="41"/>
      <c r="AS2" s="41"/>
      <c r="AT2" s="41"/>
      <c r="AU2" s="41"/>
      <c r="AV2" s="41"/>
      <c r="AW2" s="41"/>
      <c r="AX2" s="41"/>
      <c r="AY2" s="41"/>
      <c r="AZ2" s="43"/>
      <c r="BA2" s="43"/>
      <c r="BB2" s="43"/>
      <c r="BC2" s="43"/>
      <c r="BD2" s="43"/>
      <c r="BE2" s="43"/>
      <c r="BF2" s="43"/>
      <c r="BG2" s="43"/>
      <c r="BH2" s="43"/>
      <c r="BI2" s="41"/>
      <c r="BJ2" s="42"/>
      <c r="BK2" s="41"/>
      <c r="BL2" s="41"/>
      <c r="BM2" s="41"/>
      <c r="BN2" s="41"/>
      <c r="BO2" s="41"/>
      <c r="BP2" s="41"/>
      <c r="BQ2" s="41"/>
      <c r="BR2" s="41"/>
      <c r="BS2" s="41"/>
      <c r="BT2" s="43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213"/>
      <c r="DU2" s="217"/>
      <c r="DV2" s="217"/>
      <c r="DW2" s="217"/>
      <c r="DX2" s="219"/>
      <c r="DY2" s="222"/>
      <c r="DZ2" s="224"/>
      <c r="EA2" s="226"/>
      <c r="EB2" s="228"/>
      <c r="EC2" s="230"/>
      <c r="ED2" s="232"/>
      <c r="EE2" s="234"/>
      <c r="EF2" s="236"/>
      <c r="EG2" s="238"/>
      <c r="EH2" s="240"/>
      <c r="EI2" s="246"/>
      <c r="EJ2" s="246"/>
      <c r="EK2" s="252"/>
      <c r="EL2" s="256"/>
      <c r="EM2" s="260"/>
      <c r="EN2" s="264"/>
      <c r="EO2" s="268"/>
      <c r="EP2" s="272"/>
      <c r="EQ2" s="277"/>
      <c r="ER2" s="281"/>
      <c r="ES2" s="285"/>
      <c r="ET2" s="289"/>
      <c r="EU2" s="290"/>
      <c r="EV2" s="293"/>
      <c r="EW2" s="294"/>
      <c r="EX2" s="296"/>
      <c r="EY2" s="298"/>
      <c r="EZ2" s="301"/>
      <c r="FA2" s="303"/>
      <c r="FB2" s="307"/>
      <c r="FC2" s="309"/>
      <c r="FD2" s="311"/>
      <c r="FE2" s="312"/>
      <c r="FF2" s="314"/>
      <c r="FG2" s="323"/>
      <c r="FH2" s="324"/>
      <c r="FI2" s="327"/>
      <c r="FJ2" s="327"/>
      <c r="FK2" s="331"/>
      <c r="FL2" s="333"/>
      <c r="FM2" s="334"/>
      <c r="FN2" s="337"/>
      <c r="FO2" s="338"/>
      <c r="FP2" s="241" t="s">
        <v>65</v>
      </c>
      <c r="FQ2" s="1"/>
      <c r="FR2" s="1"/>
    </row>
    <row r="3" spans="1:174" ht="18.75">
      <c r="A3" s="351" t="s">
        <v>77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4"/>
      <c r="EJ3" s="243"/>
      <c r="EK3" s="249"/>
      <c r="EL3" s="253"/>
      <c r="EM3" s="257"/>
      <c r="EN3" s="261"/>
      <c r="EO3" s="265"/>
      <c r="EP3" s="269"/>
      <c r="EQ3" s="274"/>
      <c r="ER3" s="278"/>
      <c r="ES3" s="282"/>
      <c r="ET3" s="286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29"/>
      <c r="FQ3" s="1"/>
      <c r="FR3" s="1"/>
    </row>
    <row r="4" spans="1:174" ht="15.75">
      <c r="A4" s="353" t="s">
        <v>90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4"/>
      <c r="EI4" s="1"/>
      <c r="EJ4" s="244"/>
      <c r="EK4" s="250"/>
      <c r="EL4" s="254"/>
      <c r="EM4" s="258"/>
      <c r="EN4" s="262"/>
      <c r="EO4" s="266"/>
      <c r="EP4" s="270"/>
      <c r="EQ4" s="275"/>
      <c r="ER4" s="279"/>
      <c r="ES4" s="283"/>
      <c r="ET4" s="287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2"/>
      <c r="FQ4" s="1"/>
      <c r="FR4" s="1"/>
    </row>
    <row r="5" spans="1:174" ht="15.7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47"/>
      <c r="FQ5" s="1"/>
      <c r="FR5" s="1"/>
    </row>
    <row r="6" spans="1:180" ht="15.75">
      <c r="A6" s="8"/>
      <c r="B6" s="41"/>
      <c r="C6" s="41"/>
      <c r="D6" s="41"/>
      <c r="E6" s="40"/>
      <c r="F6" s="40"/>
      <c r="G6" s="40"/>
      <c r="H6" s="41"/>
      <c r="I6" s="41"/>
      <c r="J6" s="41"/>
      <c r="K6" s="41"/>
      <c r="L6" s="41"/>
      <c r="M6" s="41"/>
      <c r="N6" s="41"/>
      <c r="O6" s="56"/>
      <c r="P6" s="41"/>
      <c r="Q6" s="56"/>
      <c r="R6" s="56"/>
      <c r="S6" s="41"/>
      <c r="T6" s="41"/>
      <c r="U6" s="44"/>
      <c r="V6" s="41"/>
      <c r="W6" s="41"/>
      <c r="X6" s="41"/>
      <c r="Y6" s="41"/>
      <c r="Z6" s="41"/>
      <c r="AA6" s="41"/>
      <c r="AB6" s="41"/>
      <c r="AC6" s="41"/>
      <c r="AD6" s="41"/>
      <c r="AE6" s="49"/>
      <c r="AF6" s="57"/>
      <c r="AG6" s="57"/>
      <c r="AH6" s="57"/>
      <c r="AI6" s="57"/>
      <c r="AJ6" s="57"/>
      <c r="AK6" s="57"/>
      <c r="AL6" s="35"/>
      <c r="AM6" s="57"/>
      <c r="AN6" s="58"/>
      <c r="AO6" s="59"/>
      <c r="AP6" s="59"/>
      <c r="AQ6" s="59"/>
      <c r="AR6" s="59"/>
      <c r="AS6" s="48"/>
      <c r="AT6" s="48"/>
      <c r="AU6" s="59"/>
      <c r="AV6" s="59"/>
      <c r="AW6" s="59"/>
      <c r="AX6" s="59"/>
      <c r="AY6" s="59"/>
      <c r="AZ6" s="48"/>
      <c r="BA6" s="58"/>
      <c r="BB6" s="58"/>
      <c r="BC6" s="58"/>
      <c r="BD6" s="58"/>
      <c r="BE6" s="58"/>
      <c r="BF6" s="58"/>
      <c r="BG6" s="58"/>
      <c r="BH6" s="58"/>
      <c r="BI6" s="60"/>
      <c r="BJ6" s="59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61"/>
      <c r="BV6" s="58"/>
      <c r="BW6" s="59"/>
      <c r="BX6" s="59"/>
      <c r="BY6" s="59"/>
      <c r="BZ6" s="59"/>
      <c r="CA6" s="60"/>
      <c r="CB6" s="59"/>
      <c r="CC6" s="59"/>
      <c r="CD6" s="59"/>
      <c r="CE6" s="59"/>
      <c r="CF6" s="59"/>
      <c r="CG6" s="59"/>
      <c r="CH6" s="61"/>
      <c r="CI6" s="60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1"/>
      <c r="CV6" s="62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38"/>
      <c r="DI6" s="62"/>
      <c r="DJ6" s="343">
        <v>2013</v>
      </c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4"/>
      <c r="DV6" s="342">
        <v>2014</v>
      </c>
      <c r="DW6" s="343"/>
      <c r="DX6" s="343"/>
      <c r="DY6" s="343"/>
      <c r="DZ6" s="343"/>
      <c r="EA6" s="343"/>
      <c r="EB6" s="343"/>
      <c r="EC6" s="343"/>
      <c r="ED6" s="343"/>
      <c r="EE6" s="343"/>
      <c r="EF6" s="343"/>
      <c r="EG6" s="343"/>
      <c r="EH6" s="344"/>
      <c r="EI6" s="342">
        <v>2015</v>
      </c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4"/>
      <c r="EV6" s="342">
        <v>2016</v>
      </c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4"/>
      <c r="FI6" s="342">
        <v>2017</v>
      </c>
      <c r="FJ6" s="343"/>
      <c r="FK6" s="343"/>
      <c r="FL6" s="343"/>
      <c r="FM6" s="343"/>
      <c r="FN6" s="343"/>
      <c r="FO6" s="343"/>
      <c r="FP6" s="344"/>
      <c r="FQ6" s="1"/>
      <c r="FR6" s="1"/>
      <c r="FS6" s="1"/>
      <c r="FT6" s="1"/>
      <c r="FU6" s="1"/>
      <c r="FV6" s="1"/>
      <c r="FW6" s="1"/>
      <c r="FX6" s="1"/>
    </row>
    <row r="7" spans="1:180" ht="15.75">
      <c r="A7" s="318" t="s">
        <v>67</v>
      </c>
      <c r="B7" s="41"/>
      <c r="C7" s="41"/>
      <c r="D7" s="41"/>
      <c r="E7" s="64" t="s">
        <v>0</v>
      </c>
      <c r="F7" s="64" t="s">
        <v>1</v>
      </c>
      <c r="G7" s="65" t="s">
        <v>2</v>
      </c>
      <c r="H7" s="46" t="s">
        <v>3</v>
      </c>
      <c r="I7" s="46" t="s">
        <v>4</v>
      </c>
      <c r="J7" s="46" t="s">
        <v>5</v>
      </c>
      <c r="K7" s="46" t="s">
        <v>6</v>
      </c>
      <c r="L7" s="46" t="s">
        <v>7</v>
      </c>
      <c r="M7" s="46" t="s">
        <v>8</v>
      </c>
      <c r="N7" s="46" t="s">
        <v>9</v>
      </c>
      <c r="O7" s="66" t="s">
        <v>10</v>
      </c>
      <c r="P7" s="46" t="s">
        <v>11</v>
      </c>
      <c r="Q7" s="66" t="s">
        <v>12</v>
      </c>
      <c r="R7" s="66">
        <v>2000</v>
      </c>
      <c r="S7" s="46">
        <v>2000</v>
      </c>
      <c r="T7" s="67"/>
      <c r="U7" s="68"/>
      <c r="V7" s="68" t="s">
        <v>69</v>
      </c>
      <c r="W7" s="41"/>
      <c r="X7" s="41"/>
      <c r="Y7" s="41"/>
      <c r="Z7" s="69" t="s">
        <v>82</v>
      </c>
      <c r="AA7" s="70"/>
      <c r="AB7" s="71"/>
      <c r="AC7" s="71"/>
      <c r="AD7" s="71"/>
      <c r="AE7" s="72">
        <v>2000</v>
      </c>
      <c r="AF7" s="66">
        <v>2001</v>
      </c>
      <c r="AG7" s="66">
        <v>2002</v>
      </c>
      <c r="AH7" s="66">
        <v>2003</v>
      </c>
      <c r="AI7" s="66">
        <v>2004</v>
      </c>
      <c r="AJ7" s="66">
        <v>2005</v>
      </c>
      <c r="AK7" s="66">
        <v>2006</v>
      </c>
      <c r="AL7" s="66">
        <v>2007</v>
      </c>
      <c r="AM7" s="66">
        <v>2008</v>
      </c>
      <c r="AN7" s="66">
        <v>2008</v>
      </c>
      <c r="AO7" s="73">
        <v>2008</v>
      </c>
      <c r="AP7" s="74">
        <v>2008</v>
      </c>
      <c r="AQ7" s="74">
        <v>2008</v>
      </c>
      <c r="AR7" s="75">
        <v>2008</v>
      </c>
      <c r="AS7" s="75">
        <v>2008</v>
      </c>
      <c r="AT7" s="75">
        <v>2008</v>
      </c>
      <c r="AU7" s="75">
        <v>2008</v>
      </c>
      <c r="AV7" s="74">
        <v>2008</v>
      </c>
      <c r="AW7" s="74">
        <v>2008</v>
      </c>
      <c r="AX7" s="74">
        <v>2008</v>
      </c>
      <c r="AY7" s="346">
        <v>2008</v>
      </c>
      <c r="AZ7" s="346"/>
      <c r="BA7" s="66">
        <v>2009</v>
      </c>
      <c r="BB7" s="66">
        <v>2010</v>
      </c>
      <c r="BC7" s="66">
        <v>2011</v>
      </c>
      <c r="BD7" s="66">
        <v>2012</v>
      </c>
      <c r="BE7" s="66">
        <v>2013</v>
      </c>
      <c r="BF7" s="66">
        <v>2014</v>
      </c>
      <c r="BG7" s="66">
        <v>2015</v>
      </c>
      <c r="BH7" s="66">
        <v>2016</v>
      </c>
      <c r="BI7" s="76">
        <v>2009</v>
      </c>
      <c r="BJ7" s="76">
        <v>2009</v>
      </c>
      <c r="BK7" s="76">
        <v>2009</v>
      </c>
      <c r="BL7" s="76">
        <v>2009</v>
      </c>
      <c r="BM7" s="76">
        <v>2009</v>
      </c>
      <c r="BN7" s="76">
        <v>2009</v>
      </c>
      <c r="BO7" s="76">
        <v>2009</v>
      </c>
      <c r="BP7" s="76">
        <v>2009</v>
      </c>
      <c r="BQ7" s="76">
        <v>2009</v>
      </c>
      <c r="BR7" s="76">
        <v>2009</v>
      </c>
      <c r="BS7" s="76">
        <v>2009</v>
      </c>
      <c r="BT7" s="76">
        <v>2009</v>
      </c>
      <c r="BU7" s="76">
        <v>2009</v>
      </c>
      <c r="BV7" s="76">
        <v>2010</v>
      </c>
      <c r="BW7" s="76">
        <v>2010</v>
      </c>
      <c r="BX7" s="76">
        <v>2010</v>
      </c>
      <c r="BY7" s="76">
        <v>2010</v>
      </c>
      <c r="BZ7" s="76">
        <v>2010</v>
      </c>
      <c r="CA7" s="76">
        <v>2010</v>
      </c>
      <c r="CB7" s="76">
        <v>2010</v>
      </c>
      <c r="CC7" s="76">
        <v>2010</v>
      </c>
      <c r="CD7" s="76">
        <v>2010</v>
      </c>
      <c r="CE7" s="76">
        <v>2010</v>
      </c>
      <c r="CF7" s="76">
        <v>2010</v>
      </c>
      <c r="CG7" s="76">
        <v>2010</v>
      </c>
      <c r="CH7" s="76">
        <v>2010</v>
      </c>
      <c r="CI7" s="345">
        <v>2011</v>
      </c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7"/>
      <c r="CV7" s="345">
        <v>2012</v>
      </c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7"/>
      <c r="DI7" s="215">
        <v>2013</v>
      </c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7"/>
      <c r="DV7" s="345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7"/>
      <c r="EI7" s="345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7"/>
      <c r="EV7" s="345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7"/>
      <c r="FI7" s="345"/>
      <c r="FJ7" s="346"/>
      <c r="FK7" s="346"/>
      <c r="FL7" s="346"/>
      <c r="FM7" s="346"/>
      <c r="FN7" s="346"/>
      <c r="FO7" s="346"/>
      <c r="FP7" s="347"/>
      <c r="FR7" s="11"/>
      <c r="FS7" s="1"/>
      <c r="FT7" s="1"/>
      <c r="FU7" s="1"/>
      <c r="FV7" s="1"/>
      <c r="FW7" s="1"/>
      <c r="FX7" s="1"/>
    </row>
    <row r="8" spans="1:180" ht="15.75">
      <c r="A8" s="77"/>
      <c r="B8" s="41"/>
      <c r="C8" s="41"/>
      <c r="D8" s="41"/>
      <c r="E8" s="64"/>
      <c r="F8" s="64"/>
      <c r="G8" s="65"/>
      <c r="H8" s="46"/>
      <c r="I8" s="46"/>
      <c r="J8" s="46"/>
      <c r="K8" s="46"/>
      <c r="L8" s="46"/>
      <c r="M8" s="46"/>
      <c r="N8" s="46"/>
      <c r="O8" s="66"/>
      <c r="P8" s="46"/>
      <c r="Q8" s="66"/>
      <c r="R8" s="66"/>
      <c r="S8" s="46"/>
      <c r="T8" s="67"/>
      <c r="U8" s="68"/>
      <c r="V8" s="68"/>
      <c r="W8" s="41"/>
      <c r="X8" s="41"/>
      <c r="Y8" s="41"/>
      <c r="Z8" s="69"/>
      <c r="AA8" s="69"/>
      <c r="AB8" s="73"/>
      <c r="AC8" s="73"/>
      <c r="AD8" s="73"/>
      <c r="AE8" s="78"/>
      <c r="AF8" s="66"/>
      <c r="AG8" s="76"/>
      <c r="AH8" s="76"/>
      <c r="AI8" s="66"/>
      <c r="AJ8" s="66"/>
      <c r="AK8" s="66"/>
      <c r="AL8" s="46"/>
      <c r="AM8" s="66"/>
      <c r="AN8" s="79"/>
      <c r="AO8" s="80"/>
      <c r="AP8" s="80"/>
      <c r="AQ8" s="80"/>
      <c r="AR8" s="81"/>
      <c r="AS8" s="80"/>
      <c r="AT8" s="81"/>
      <c r="AU8" s="82"/>
      <c r="AV8" s="83"/>
      <c r="AW8" s="80"/>
      <c r="AX8" s="80"/>
      <c r="AY8" s="84"/>
      <c r="AZ8" s="80"/>
      <c r="BA8" s="85"/>
      <c r="BB8" s="85"/>
      <c r="BC8" s="85"/>
      <c r="BD8" s="85"/>
      <c r="BE8" s="85"/>
      <c r="BF8" s="85"/>
      <c r="BG8" s="85"/>
      <c r="BH8" s="85"/>
      <c r="BI8" s="86"/>
      <c r="BJ8" s="80"/>
      <c r="BK8" s="80"/>
      <c r="BL8" s="80"/>
      <c r="BM8" s="81"/>
      <c r="BN8" s="81"/>
      <c r="BO8" s="81"/>
      <c r="BP8" s="82"/>
      <c r="BQ8" s="83"/>
      <c r="BR8" s="80"/>
      <c r="BS8" s="80"/>
      <c r="BT8" s="80"/>
      <c r="BU8" s="87"/>
      <c r="BV8" s="88"/>
      <c r="BW8" s="53"/>
      <c r="BX8" s="53"/>
      <c r="BY8" s="53"/>
      <c r="BZ8" s="53"/>
      <c r="CA8" s="89"/>
      <c r="CB8" s="53"/>
      <c r="CC8" s="53"/>
      <c r="CD8" s="53"/>
      <c r="CE8" s="53"/>
      <c r="CF8" s="53"/>
      <c r="CG8" s="53"/>
      <c r="CH8" s="54"/>
      <c r="CI8" s="89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4"/>
      <c r="CV8" s="89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8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50"/>
      <c r="DV8" s="348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50"/>
      <c r="EI8" s="348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50"/>
      <c r="EV8" s="348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50"/>
      <c r="FI8" s="348"/>
      <c r="FJ8" s="349"/>
      <c r="FK8" s="349"/>
      <c r="FL8" s="349"/>
      <c r="FM8" s="349"/>
      <c r="FN8" s="349"/>
      <c r="FO8" s="349"/>
      <c r="FP8" s="350"/>
      <c r="FR8" s="11"/>
      <c r="FS8" s="11"/>
      <c r="FT8" s="5"/>
      <c r="FU8" s="5"/>
      <c r="FV8" s="11"/>
      <c r="FW8" s="6"/>
      <c r="FX8" s="6"/>
    </row>
    <row r="9" spans="1:180" ht="15.75">
      <c r="A9" s="63"/>
      <c r="B9" s="41"/>
      <c r="C9" s="41"/>
      <c r="D9" s="41"/>
      <c r="E9" s="90"/>
      <c r="F9" s="90"/>
      <c r="G9" s="90"/>
      <c r="H9" s="41"/>
      <c r="I9" s="41"/>
      <c r="J9" s="41"/>
      <c r="K9" s="41"/>
      <c r="L9" s="41"/>
      <c r="M9" s="41"/>
      <c r="N9" s="41"/>
      <c r="O9" s="56"/>
      <c r="P9" s="41"/>
      <c r="Q9" s="56"/>
      <c r="R9" s="66"/>
      <c r="S9" s="91" t="s">
        <v>13</v>
      </c>
      <c r="T9" s="92" t="s">
        <v>14</v>
      </c>
      <c r="U9" s="93" t="s">
        <v>15</v>
      </c>
      <c r="V9" s="93" t="s">
        <v>16</v>
      </c>
      <c r="W9" s="93" t="s">
        <v>17</v>
      </c>
      <c r="X9" s="93" t="s">
        <v>18</v>
      </c>
      <c r="Y9" s="92" t="s">
        <v>19</v>
      </c>
      <c r="Z9" s="93" t="s">
        <v>20</v>
      </c>
      <c r="AA9" s="66" t="s">
        <v>21</v>
      </c>
      <c r="AB9" s="66" t="s">
        <v>22</v>
      </c>
      <c r="AC9" s="92" t="s">
        <v>23</v>
      </c>
      <c r="AD9" s="93" t="s">
        <v>24</v>
      </c>
      <c r="AE9" s="94" t="s">
        <v>64</v>
      </c>
      <c r="AF9" s="95"/>
      <c r="AG9" s="95"/>
      <c r="AH9" s="94"/>
      <c r="AI9" s="94"/>
      <c r="AJ9" s="95"/>
      <c r="AK9" s="94"/>
      <c r="AL9" s="94"/>
      <c r="AM9" s="95"/>
      <c r="AN9" s="47" t="s">
        <v>13</v>
      </c>
      <c r="AO9" s="47" t="s">
        <v>14</v>
      </c>
      <c r="AP9" s="66" t="s">
        <v>15</v>
      </c>
      <c r="AQ9" s="66" t="s">
        <v>16</v>
      </c>
      <c r="AR9" s="66" t="s">
        <v>17</v>
      </c>
      <c r="AS9" s="66" t="s">
        <v>18</v>
      </c>
      <c r="AT9" s="66" t="s">
        <v>19</v>
      </c>
      <c r="AU9" s="76" t="s">
        <v>20</v>
      </c>
      <c r="AV9" s="66" t="s">
        <v>21</v>
      </c>
      <c r="AW9" s="76" t="s">
        <v>22</v>
      </c>
      <c r="AX9" s="93" t="s">
        <v>23</v>
      </c>
      <c r="AY9" s="66" t="s">
        <v>24</v>
      </c>
      <c r="AZ9" s="96" t="s">
        <v>85</v>
      </c>
      <c r="BA9" s="66"/>
      <c r="BB9" s="47"/>
      <c r="BC9" s="47"/>
      <c r="BD9" s="216"/>
      <c r="BE9" s="47"/>
      <c r="BF9" s="291"/>
      <c r="BG9" s="325"/>
      <c r="BH9" s="239"/>
      <c r="BI9" s="47" t="s">
        <v>13</v>
      </c>
      <c r="BJ9" s="47" t="s">
        <v>14</v>
      </c>
      <c r="BK9" s="66" t="s">
        <v>15</v>
      </c>
      <c r="BL9" s="66" t="s">
        <v>16</v>
      </c>
      <c r="BM9" s="66" t="s">
        <v>17</v>
      </c>
      <c r="BN9" s="66" t="s">
        <v>18</v>
      </c>
      <c r="BO9" s="66" t="s">
        <v>19</v>
      </c>
      <c r="BP9" s="66" t="s">
        <v>20</v>
      </c>
      <c r="BQ9" s="66" t="s">
        <v>21</v>
      </c>
      <c r="BR9" s="66" t="s">
        <v>22</v>
      </c>
      <c r="BS9" s="66" t="s">
        <v>23</v>
      </c>
      <c r="BT9" s="66" t="s">
        <v>24</v>
      </c>
      <c r="BU9" s="66" t="s">
        <v>86</v>
      </c>
      <c r="BV9" s="66" t="s">
        <v>13</v>
      </c>
      <c r="BW9" s="47" t="s">
        <v>14</v>
      </c>
      <c r="BX9" s="66" t="s">
        <v>15</v>
      </c>
      <c r="BY9" s="66" t="s">
        <v>16</v>
      </c>
      <c r="BZ9" s="66" t="s">
        <v>17</v>
      </c>
      <c r="CA9" s="66" t="s">
        <v>18</v>
      </c>
      <c r="CB9" s="66" t="s">
        <v>19</v>
      </c>
      <c r="CC9" s="66" t="s">
        <v>20</v>
      </c>
      <c r="CD9" s="66" t="s">
        <v>21</v>
      </c>
      <c r="CE9" s="66" t="s">
        <v>22</v>
      </c>
      <c r="CF9" s="66" t="s">
        <v>23</v>
      </c>
      <c r="CG9" s="66" t="s">
        <v>24</v>
      </c>
      <c r="CH9" s="66" t="s">
        <v>86</v>
      </c>
      <c r="CI9" s="66" t="s">
        <v>13</v>
      </c>
      <c r="CJ9" s="66" t="s">
        <v>87</v>
      </c>
      <c r="CK9" s="66" t="s">
        <v>15</v>
      </c>
      <c r="CL9" s="66" t="s">
        <v>16</v>
      </c>
      <c r="CM9" s="66" t="s">
        <v>17</v>
      </c>
      <c r="CN9" s="66" t="s">
        <v>18</v>
      </c>
      <c r="CO9" s="66" t="s">
        <v>19</v>
      </c>
      <c r="CP9" s="66" t="s">
        <v>20</v>
      </c>
      <c r="CQ9" s="66" t="s">
        <v>21</v>
      </c>
      <c r="CR9" s="66" t="s">
        <v>22</v>
      </c>
      <c r="CS9" s="66" t="s">
        <v>23</v>
      </c>
      <c r="CT9" s="66" t="s">
        <v>88</v>
      </c>
      <c r="CU9" s="66" t="s">
        <v>86</v>
      </c>
      <c r="CV9" s="92" t="s">
        <v>13</v>
      </c>
      <c r="CW9" s="92" t="s">
        <v>14</v>
      </c>
      <c r="CX9" s="92" t="s">
        <v>15</v>
      </c>
      <c r="CY9" s="92" t="s">
        <v>16</v>
      </c>
      <c r="CZ9" s="92" t="s">
        <v>17</v>
      </c>
      <c r="DA9" s="92" t="s">
        <v>18</v>
      </c>
      <c r="DB9" s="92" t="s">
        <v>19</v>
      </c>
      <c r="DC9" s="92" t="s">
        <v>20</v>
      </c>
      <c r="DD9" s="92" t="s">
        <v>21</v>
      </c>
      <c r="DE9" s="47" t="s">
        <v>22</v>
      </c>
      <c r="DF9" s="66" t="s">
        <v>23</v>
      </c>
      <c r="DG9" s="66" t="s">
        <v>24</v>
      </c>
      <c r="DH9" s="66" t="s">
        <v>86</v>
      </c>
      <c r="DI9" s="92" t="s">
        <v>13</v>
      </c>
      <c r="DJ9" s="92" t="s">
        <v>14</v>
      </c>
      <c r="DK9" s="92" t="s">
        <v>15</v>
      </c>
      <c r="DL9" s="92" t="s">
        <v>16</v>
      </c>
      <c r="DM9" s="92" t="s">
        <v>17</v>
      </c>
      <c r="DN9" s="92" t="s">
        <v>18</v>
      </c>
      <c r="DO9" s="92" t="s">
        <v>19</v>
      </c>
      <c r="DP9" s="92" t="s">
        <v>20</v>
      </c>
      <c r="DQ9" s="92" t="s">
        <v>21</v>
      </c>
      <c r="DR9" s="207" t="s">
        <v>22</v>
      </c>
      <c r="DS9" s="209" t="s">
        <v>23</v>
      </c>
      <c r="DT9" s="210" t="s">
        <v>24</v>
      </c>
      <c r="DU9" s="66" t="s">
        <v>86</v>
      </c>
      <c r="DV9" s="92" t="s">
        <v>13</v>
      </c>
      <c r="DW9" s="92" t="s">
        <v>14</v>
      </c>
      <c r="DX9" s="218" t="s">
        <v>15</v>
      </c>
      <c r="DY9" s="221" t="s">
        <v>16</v>
      </c>
      <c r="DZ9" s="223" t="s">
        <v>17</v>
      </c>
      <c r="EA9" s="225" t="s">
        <v>18</v>
      </c>
      <c r="EB9" s="227" t="s">
        <v>19</v>
      </c>
      <c r="EC9" s="229" t="s">
        <v>20</v>
      </c>
      <c r="ED9" s="231" t="s">
        <v>21</v>
      </c>
      <c r="EE9" s="233" t="s">
        <v>22</v>
      </c>
      <c r="EF9" s="235" t="s">
        <v>23</v>
      </c>
      <c r="EG9" s="237" t="s">
        <v>24</v>
      </c>
      <c r="EH9" s="66" t="s">
        <v>86</v>
      </c>
      <c r="EI9" s="242" t="s">
        <v>13</v>
      </c>
      <c r="EJ9" s="292" t="s">
        <v>14</v>
      </c>
      <c r="EK9" s="292" t="s">
        <v>15</v>
      </c>
      <c r="EL9" s="292" t="s">
        <v>16</v>
      </c>
      <c r="EM9" s="292" t="s">
        <v>17</v>
      </c>
      <c r="EN9" s="292" t="s">
        <v>18</v>
      </c>
      <c r="EO9" s="292" t="s">
        <v>19</v>
      </c>
      <c r="EP9" s="292" t="s">
        <v>20</v>
      </c>
      <c r="EQ9" s="292" t="s">
        <v>21</v>
      </c>
      <c r="ER9" s="292" t="s">
        <v>22</v>
      </c>
      <c r="ES9" s="292" t="s">
        <v>23</v>
      </c>
      <c r="ET9" s="292" t="s">
        <v>24</v>
      </c>
      <c r="EU9" s="322" t="s">
        <v>86</v>
      </c>
      <c r="EV9" s="295" t="s">
        <v>13</v>
      </c>
      <c r="EW9" s="295" t="s">
        <v>14</v>
      </c>
      <c r="EX9" s="297" t="s">
        <v>15</v>
      </c>
      <c r="EY9" s="299" t="s">
        <v>16</v>
      </c>
      <c r="EZ9" s="300" t="s">
        <v>17</v>
      </c>
      <c r="FA9" s="302" t="s">
        <v>18</v>
      </c>
      <c r="FB9" s="306" t="s">
        <v>19</v>
      </c>
      <c r="FC9" s="308" t="s">
        <v>20</v>
      </c>
      <c r="FD9" s="310" t="s">
        <v>21</v>
      </c>
      <c r="FE9" s="313" t="s">
        <v>22</v>
      </c>
      <c r="FF9" s="315" t="s">
        <v>23</v>
      </c>
      <c r="FG9" s="322" t="s">
        <v>24</v>
      </c>
      <c r="FH9" s="339" t="s">
        <v>94</v>
      </c>
      <c r="FI9" s="326" t="s">
        <v>13</v>
      </c>
      <c r="FJ9" s="326" t="s">
        <v>14</v>
      </c>
      <c r="FK9" s="330" t="s">
        <v>15</v>
      </c>
      <c r="FL9" s="332" t="s">
        <v>16</v>
      </c>
      <c r="FM9" s="335" t="s">
        <v>17</v>
      </c>
      <c r="FN9" s="336" t="s">
        <v>18</v>
      </c>
      <c r="FO9" s="339" t="s">
        <v>19</v>
      </c>
      <c r="FP9" s="339" t="s">
        <v>94</v>
      </c>
      <c r="FR9" s="4"/>
      <c r="FS9" s="11"/>
      <c r="FT9" s="5"/>
      <c r="FU9" s="5"/>
      <c r="FV9" s="11"/>
      <c r="FW9" s="6"/>
      <c r="FX9" s="6"/>
    </row>
    <row r="10" spans="1:180" ht="12.75" customHeight="1">
      <c r="A10" s="317" t="s">
        <v>68</v>
      </c>
      <c r="B10" s="41"/>
      <c r="C10" s="41"/>
      <c r="D10" s="41"/>
      <c r="E10" s="51"/>
      <c r="F10" s="51"/>
      <c r="G10" s="51"/>
      <c r="H10" s="50"/>
      <c r="I10" s="50"/>
      <c r="J10" s="50"/>
      <c r="K10" s="50"/>
      <c r="L10" s="50"/>
      <c r="M10" s="50"/>
      <c r="N10" s="51"/>
      <c r="O10" s="97"/>
      <c r="P10" s="50"/>
      <c r="Q10" s="98"/>
      <c r="R10" s="98"/>
      <c r="S10" s="50"/>
      <c r="T10" s="99"/>
      <c r="U10" s="99"/>
      <c r="V10" s="98"/>
      <c r="W10" s="98"/>
      <c r="X10" s="98"/>
      <c r="Y10" s="99"/>
      <c r="Z10" s="98"/>
      <c r="AA10" s="98"/>
      <c r="AB10" s="98"/>
      <c r="AC10" s="99"/>
      <c r="AD10" s="98"/>
      <c r="AE10" s="99"/>
      <c r="AF10" s="98"/>
      <c r="AG10" s="98"/>
      <c r="AH10" s="99"/>
      <c r="AI10" s="99"/>
      <c r="AJ10" s="98"/>
      <c r="AK10" s="99"/>
      <c r="AL10" s="99"/>
      <c r="AM10" s="99"/>
      <c r="AN10" s="99"/>
      <c r="AO10" s="99"/>
      <c r="AP10" s="98"/>
      <c r="AQ10" s="98"/>
      <c r="AR10" s="98"/>
      <c r="AS10" s="98"/>
      <c r="AT10" s="98"/>
      <c r="AU10" s="50"/>
      <c r="AV10" s="98"/>
      <c r="AW10" s="100"/>
      <c r="AX10" s="98"/>
      <c r="AY10" s="98"/>
      <c r="AZ10" s="100"/>
      <c r="BA10" s="98"/>
      <c r="BB10" s="99"/>
      <c r="BC10" s="99"/>
      <c r="BD10" s="99"/>
      <c r="BE10" s="99"/>
      <c r="BF10" s="99"/>
      <c r="BG10" s="99"/>
      <c r="BH10" s="99"/>
      <c r="BI10" s="99"/>
      <c r="BJ10" s="99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55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R10" s="25"/>
      <c r="FS10" s="4"/>
      <c r="FT10" s="4"/>
      <c r="FU10" s="4"/>
      <c r="FV10" s="4"/>
      <c r="FW10" s="5"/>
      <c r="FX10" s="4"/>
    </row>
    <row r="11" spans="1:180" ht="15.75">
      <c r="A11" s="204"/>
      <c r="B11" s="41"/>
      <c r="C11" s="41"/>
      <c r="D11" s="41"/>
      <c r="E11" s="101"/>
      <c r="F11" s="101"/>
      <c r="G11" s="101"/>
      <c r="H11" s="101"/>
      <c r="I11" s="35"/>
      <c r="J11" s="35"/>
      <c r="K11" s="35"/>
      <c r="L11" s="35"/>
      <c r="M11" s="35"/>
      <c r="N11" s="35"/>
      <c r="O11" s="57"/>
      <c r="P11" s="35"/>
      <c r="Q11" s="57"/>
      <c r="R11" s="57"/>
      <c r="S11" s="90"/>
      <c r="T11" s="41"/>
      <c r="U11" s="56"/>
      <c r="V11" s="56"/>
      <c r="W11" s="56"/>
      <c r="X11" s="56"/>
      <c r="Y11" s="49"/>
      <c r="Z11" s="56"/>
      <c r="AA11" s="56"/>
      <c r="AB11" s="57"/>
      <c r="AC11" s="49"/>
      <c r="AD11" s="56"/>
      <c r="AE11" s="38"/>
      <c r="AF11" s="57"/>
      <c r="AG11" s="57"/>
      <c r="AH11" s="38"/>
      <c r="AI11" s="38"/>
      <c r="AJ11" s="38"/>
      <c r="AK11" s="38"/>
      <c r="AL11" s="38"/>
      <c r="AM11" s="38"/>
      <c r="AN11" s="38"/>
      <c r="AO11" s="49"/>
      <c r="AP11" s="56"/>
      <c r="AQ11" s="56"/>
      <c r="AR11" s="56"/>
      <c r="AS11" s="56"/>
      <c r="AT11" s="56"/>
      <c r="AU11" s="49"/>
      <c r="AV11" s="57"/>
      <c r="AW11" s="57"/>
      <c r="AX11" s="49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49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102"/>
      <c r="DB11" s="102"/>
      <c r="DC11" s="102"/>
      <c r="DD11" s="102"/>
      <c r="DE11" s="102"/>
      <c r="DF11" s="102"/>
      <c r="DG11" s="102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108"/>
      <c r="FI11" s="108"/>
      <c r="FJ11" s="108"/>
      <c r="FK11" s="108"/>
      <c r="FL11" s="108"/>
      <c r="FM11" s="108"/>
      <c r="FN11" s="108"/>
      <c r="FO11" s="108"/>
      <c r="FP11" s="108"/>
      <c r="FQ11" s="1"/>
      <c r="FR11" s="1"/>
      <c r="FS11" s="25"/>
      <c r="FT11" s="25"/>
      <c r="FU11" s="25"/>
      <c r="FV11" s="25"/>
      <c r="FW11" s="25"/>
      <c r="FX11" s="25"/>
    </row>
    <row r="12" spans="1:180" ht="15.75">
      <c r="A12" s="319" t="s">
        <v>26</v>
      </c>
      <c r="B12" s="41"/>
      <c r="C12" s="41"/>
      <c r="D12" s="41"/>
      <c r="E12" s="90">
        <f aca="true" t="shared" si="0" ref="E12:Q12">SUM(E14:E20)</f>
        <v>57108</v>
      </c>
      <c r="F12" s="90">
        <f t="shared" si="0"/>
        <v>47063</v>
      </c>
      <c r="G12" s="90">
        <f t="shared" si="0"/>
        <v>34941</v>
      </c>
      <c r="H12" s="90">
        <f t="shared" si="0"/>
        <v>37314</v>
      </c>
      <c r="I12" s="90">
        <f t="shared" si="0"/>
        <v>54098</v>
      </c>
      <c r="J12" s="90">
        <f t="shared" si="0"/>
        <v>27772</v>
      </c>
      <c r="K12" s="90">
        <f t="shared" si="0"/>
        <v>41448</v>
      </c>
      <c r="L12" s="90">
        <f t="shared" si="0"/>
        <v>101421</v>
      </c>
      <c r="M12" s="90">
        <f t="shared" si="0"/>
        <v>82787</v>
      </c>
      <c r="N12" s="104">
        <f t="shared" si="0"/>
        <v>23334</v>
      </c>
      <c r="O12" s="105">
        <f t="shared" si="0"/>
        <v>23854</v>
      </c>
      <c r="P12" s="104">
        <f t="shared" si="0"/>
        <v>47416</v>
      </c>
      <c r="Q12" s="105">
        <f t="shared" si="0"/>
        <v>49530</v>
      </c>
      <c r="R12" s="105">
        <v>67853.391</v>
      </c>
      <c r="S12" s="104">
        <f aca="true" t="shared" si="1" ref="S12:X12">SUM(S14:S20)</f>
        <v>3728</v>
      </c>
      <c r="T12" s="104">
        <f>SUM(T14:T20)</f>
        <v>5936</v>
      </c>
      <c r="U12" s="105">
        <f t="shared" si="1"/>
        <v>4483</v>
      </c>
      <c r="V12" s="105">
        <f t="shared" si="1"/>
        <v>7196</v>
      </c>
      <c r="W12" s="105">
        <f t="shared" si="1"/>
        <v>5789</v>
      </c>
      <c r="X12" s="105">
        <f t="shared" si="1"/>
        <v>4075</v>
      </c>
      <c r="Y12" s="106">
        <f aca="true" t="shared" si="2" ref="Y12:AD12">SUM(Y14:Y20)</f>
        <v>4648</v>
      </c>
      <c r="Z12" s="105">
        <f t="shared" si="2"/>
        <v>6994</v>
      </c>
      <c r="AA12" s="105">
        <f t="shared" si="2"/>
        <v>4916</v>
      </c>
      <c r="AB12" s="105">
        <f t="shared" si="2"/>
        <v>4232</v>
      </c>
      <c r="AC12" s="105">
        <f t="shared" si="2"/>
        <v>7358</v>
      </c>
      <c r="AD12" s="105">
        <f t="shared" si="2"/>
        <v>8498.391</v>
      </c>
      <c r="AE12" s="106">
        <f>SUM(AE14:AE20)</f>
        <v>67853.391</v>
      </c>
      <c r="AF12" s="105">
        <v>58259.837</v>
      </c>
      <c r="AG12" s="77">
        <v>54152</v>
      </c>
      <c r="AH12" s="107">
        <v>53992</v>
      </c>
      <c r="AI12" s="107">
        <v>47689</v>
      </c>
      <c r="AJ12" s="107">
        <v>54286</v>
      </c>
      <c r="AK12" s="107">
        <v>46990</v>
      </c>
      <c r="AL12" s="107">
        <v>33642.619000000006</v>
      </c>
      <c r="AM12" s="107">
        <f aca="true" t="shared" si="3" ref="AM12:AZ12">SUM(AM14:AM20)</f>
        <v>24010.722999999998</v>
      </c>
      <c r="AN12" s="107">
        <f t="shared" si="3"/>
        <v>2415.1</v>
      </c>
      <c r="AO12" s="107">
        <f t="shared" si="3"/>
        <v>2425.504</v>
      </c>
      <c r="AP12" s="107">
        <f t="shared" si="3"/>
        <v>1655.573</v>
      </c>
      <c r="AQ12" s="107">
        <f t="shared" si="3"/>
        <v>318.2</v>
      </c>
      <c r="AR12" s="107">
        <f t="shared" si="3"/>
        <v>1794.0910000000001</v>
      </c>
      <c r="AS12" s="107">
        <f t="shared" si="3"/>
        <v>1044.675</v>
      </c>
      <c r="AT12" s="107">
        <f t="shared" si="3"/>
        <v>2569.1899999999996</v>
      </c>
      <c r="AU12" s="107">
        <f t="shared" si="3"/>
        <v>1641.5</v>
      </c>
      <c r="AV12" s="107">
        <f t="shared" si="3"/>
        <v>2049.751</v>
      </c>
      <c r="AW12" s="107">
        <f t="shared" si="3"/>
        <v>2799.808</v>
      </c>
      <c r="AX12" s="107">
        <f t="shared" si="3"/>
        <v>3407.55</v>
      </c>
      <c r="AY12" s="107">
        <f t="shared" si="3"/>
        <v>2339.681</v>
      </c>
      <c r="AZ12" s="107">
        <f t="shared" si="3"/>
        <v>24460.623</v>
      </c>
      <c r="BA12" s="107">
        <f aca="true" t="shared" si="4" ref="BA12:BU12">SUM(BA14:BA20)</f>
        <v>37383.42</v>
      </c>
      <c r="BB12" s="107">
        <v>28086.833</v>
      </c>
      <c r="BC12" s="107">
        <v>57242.317</v>
      </c>
      <c r="BD12" s="107">
        <v>71437.853</v>
      </c>
      <c r="BE12" s="107">
        <v>14168.783</v>
      </c>
      <c r="BF12" s="107">
        <v>19038.147</v>
      </c>
      <c r="BG12" s="107">
        <v>18382.767</v>
      </c>
      <c r="BH12" s="107">
        <v>16133.653</v>
      </c>
      <c r="BI12" s="107">
        <f t="shared" si="4"/>
        <v>4155.3330000000005</v>
      </c>
      <c r="BJ12" s="107">
        <f t="shared" si="4"/>
        <v>3104.733</v>
      </c>
      <c r="BK12" s="107">
        <f t="shared" si="4"/>
        <v>3945.3070000000002</v>
      </c>
      <c r="BL12" s="107">
        <f t="shared" si="4"/>
        <v>655.35</v>
      </c>
      <c r="BM12" s="107">
        <f t="shared" si="4"/>
        <v>4113.698</v>
      </c>
      <c r="BN12" s="107">
        <f t="shared" si="4"/>
        <v>1873.1</v>
      </c>
      <c r="BO12" s="107">
        <f t="shared" si="4"/>
        <v>2080.647</v>
      </c>
      <c r="BP12" s="107">
        <f t="shared" si="4"/>
        <v>3825</v>
      </c>
      <c r="BQ12" s="107">
        <f t="shared" si="4"/>
        <v>3796.485</v>
      </c>
      <c r="BR12" s="107">
        <f t="shared" si="4"/>
        <v>3969.691</v>
      </c>
      <c r="BS12" s="107">
        <f t="shared" si="4"/>
        <v>3417.564</v>
      </c>
      <c r="BT12" s="107">
        <f t="shared" si="4"/>
        <v>2446.5119999999997</v>
      </c>
      <c r="BU12" s="107">
        <f t="shared" si="4"/>
        <v>37383.42</v>
      </c>
      <c r="BV12" s="107">
        <f aca="true" t="shared" si="5" ref="BV12:CG12">SUM(BV14:BV20)</f>
        <v>2082.2</v>
      </c>
      <c r="BW12" s="107">
        <f t="shared" si="5"/>
        <v>1273.35</v>
      </c>
      <c r="BX12" s="107">
        <f t="shared" si="5"/>
        <v>1255.2</v>
      </c>
      <c r="BY12" s="107">
        <f t="shared" si="5"/>
        <v>1437.8000000000002</v>
      </c>
      <c r="BZ12" s="107">
        <f t="shared" si="5"/>
        <v>3233.3</v>
      </c>
      <c r="CA12" s="107">
        <f t="shared" si="5"/>
        <v>3718.75</v>
      </c>
      <c r="CB12" s="107">
        <f t="shared" si="5"/>
        <v>3654.4</v>
      </c>
      <c r="CC12" s="107">
        <f t="shared" si="5"/>
        <v>1363.075</v>
      </c>
      <c r="CD12" s="107">
        <f t="shared" si="5"/>
        <v>2795.7</v>
      </c>
      <c r="CE12" s="107">
        <f t="shared" si="5"/>
        <v>1965.45</v>
      </c>
      <c r="CF12" s="107">
        <f t="shared" si="5"/>
        <v>2960.65</v>
      </c>
      <c r="CG12" s="107">
        <f t="shared" si="5"/>
        <v>2346.958</v>
      </c>
      <c r="CH12" s="107">
        <f>SUM(CH14:CH20)</f>
        <v>28086.833</v>
      </c>
      <c r="CI12" s="107">
        <f>SUM(CI14:CI20)</f>
        <v>3209.348</v>
      </c>
      <c r="CJ12" s="107">
        <f aca="true" t="shared" si="6" ref="CJ12:CU12">SUM(CJ14:CJ20)</f>
        <v>4750.561</v>
      </c>
      <c r="CK12" s="107">
        <f t="shared" si="6"/>
        <v>3929.363</v>
      </c>
      <c r="CL12" s="107">
        <f t="shared" si="6"/>
        <v>3727.36</v>
      </c>
      <c r="CM12" s="107">
        <f t="shared" si="6"/>
        <v>3611.868</v>
      </c>
      <c r="CN12" s="107">
        <f t="shared" si="6"/>
        <v>3435.965</v>
      </c>
      <c r="CO12" s="107">
        <f t="shared" si="6"/>
        <v>3742.317</v>
      </c>
      <c r="CP12" s="107">
        <f t="shared" si="6"/>
        <v>7442.636</v>
      </c>
      <c r="CQ12" s="107">
        <f t="shared" si="6"/>
        <v>4794.768</v>
      </c>
      <c r="CR12" s="107">
        <f t="shared" si="6"/>
        <v>6670.695</v>
      </c>
      <c r="CS12" s="107">
        <f t="shared" si="6"/>
        <v>8860.62</v>
      </c>
      <c r="CT12" s="107">
        <f t="shared" si="6"/>
        <v>3066.816</v>
      </c>
      <c r="CU12" s="107">
        <f t="shared" si="6"/>
        <v>57242.317</v>
      </c>
      <c r="CV12" s="107">
        <f aca="true" t="shared" si="7" ref="CV12:DG12">SUM(CV14:CV20)</f>
        <v>5184.147</v>
      </c>
      <c r="CW12" s="107">
        <f t="shared" si="7"/>
        <v>7771.02</v>
      </c>
      <c r="CX12" s="107">
        <f t="shared" si="7"/>
        <v>8653.548999999999</v>
      </c>
      <c r="CY12" s="107">
        <f t="shared" si="7"/>
        <v>3875.093</v>
      </c>
      <c r="CZ12" s="107">
        <f t="shared" si="7"/>
        <v>5530.76</v>
      </c>
      <c r="DA12" s="107">
        <f t="shared" si="7"/>
        <v>7215.74</v>
      </c>
      <c r="DB12" s="107">
        <f t="shared" si="7"/>
        <v>6526.168000000001</v>
      </c>
      <c r="DC12" s="107">
        <f t="shared" si="7"/>
        <v>4714.264</v>
      </c>
      <c r="DD12" s="107">
        <f t="shared" si="7"/>
        <v>4343.513</v>
      </c>
      <c r="DE12" s="107">
        <f t="shared" si="7"/>
        <v>4383.389</v>
      </c>
      <c r="DF12" s="107">
        <f t="shared" si="7"/>
        <v>7651.312</v>
      </c>
      <c r="DG12" s="107">
        <f t="shared" si="7"/>
        <v>4590.5869999999995</v>
      </c>
      <c r="DH12" s="108">
        <f>SUM(DH14:DH20)</f>
        <v>70439.542</v>
      </c>
      <c r="DI12" s="108">
        <f aca="true" t="shared" si="8" ref="DI12:DT12">SUM(DI14:DI20)</f>
        <v>1066.5929999999998</v>
      </c>
      <c r="DJ12" s="108">
        <f t="shared" si="8"/>
        <v>391.655</v>
      </c>
      <c r="DK12" s="108">
        <f t="shared" si="8"/>
        <v>1357.5230000000001</v>
      </c>
      <c r="DL12" s="108">
        <f t="shared" si="8"/>
        <v>622.109</v>
      </c>
      <c r="DM12" s="108">
        <f t="shared" si="8"/>
        <v>2357.911</v>
      </c>
      <c r="DN12" s="108">
        <f t="shared" si="8"/>
        <v>96.804</v>
      </c>
      <c r="DO12" s="108">
        <f t="shared" si="8"/>
        <v>2130.694</v>
      </c>
      <c r="DP12" s="108">
        <f t="shared" si="8"/>
        <v>701.0350000000001</v>
      </c>
      <c r="DQ12" s="108">
        <f t="shared" si="8"/>
        <v>1970.6840000000002</v>
      </c>
      <c r="DR12" s="108">
        <f t="shared" si="8"/>
        <v>1816.196</v>
      </c>
      <c r="DS12" s="108">
        <f t="shared" si="8"/>
        <v>333.82899999999995</v>
      </c>
      <c r="DT12" s="107">
        <f t="shared" si="8"/>
        <v>1323.75</v>
      </c>
      <c r="DU12" s="108">
        <f>SUM(DU14:DU20)</f>
        <v>14168.783</v>
      </c>
      <c r="DV12" s="108">
        <f aca="true" t="shared" si="9" ref="DV12:EE12">SUM(DV14:DV20)</f>
        <v>1544.015</v>
      </c>
      <c r="DW12" s="108">
        <f t="shared" si="9"/>
        <v>255.56199999999998</v>
      </c>
      <c r="DX12" s="108">
        <f t="shared" si="9"/>
        <v>1761.846</v>
      </c>
      <c r="DY12" s="108">
        <f t="shared" si="9"/>
        <v>594.845</v>
      </c>
      <c r="DZ12" s="108">
        <f t="shared" si="9"/>
        <v>1087.808</v>
      </c>
      <c r="EA12" s="108">
        <f t="shared" si="9"/>
        <v>1580.4800000000002</v>
      </c>
      <c r="EB12" s="108">
        <f t="shared" si="9"/>
        <v>2011.404</v>
      </c>
      <c r="EC12" s="108">
        <f t="shared" si="9"/>
        <v>1519.316</v>
      </c>
      <c r="ED12" s="108">
        <f t="shared" si="9"/>
        <v>1804.586</v>
      </c>
      <c r="EE12" s="108">
        <f t="shared" si="9"/>
        <v>1969.362</v>
      </c>
      <c r="EF12" s="108">
        <f>SUM(EF14:EF20)</f>
        <v>1875.9959999999999</v>
      </c>
      <c r="EG12" s="108">
        <f>SUM(EG14:EG20)</f>
        <v>3032.527</v>
      </c>
      <c r="EH12" s="108">
        <f>SUM(EH14:EH20)</f>
        <v>19037.747000000003</v>
      </c>
      <c r="EI12" s="108">
        <f aca="true" t="shared" si="10" ref="EI12:ET12">SUM(EI14:EI20)</f>
        <v>4176.082</v>
      </c>
      <c r="EJ12" s="108">
        <f t="shared" si="10"/>
        <v>1368.87</v>
      </c>
      <c r="EK12" s="108">
        <f t="shared" si="10"/>
        <v>1068.9950000000001</v>
      </c>
      <c r="EL12" s="108">
        <f t="shared" si="10"/>
        <v>2194.34</v>
      </c>
      <c r="EM12" s="108">
        <f t="shared" si="10"/>
        <v>1511.391</v>
      </c>
      <c r="EN12" s="108">
        <f t="shared" si="10"/>
        <v>1231.276</v>
      </c>
      <c r="EO12" s="108">
        <f t="shared" si="10"/>
        <v>1389.763</v>
      </c>
      <c r="EP12" s="108">
        <f t="shared" si="10"/>
        <v>168.184</v>
      </c>
      <c r="EQ12" s="108">
        <f t="shared" si="10"/>
        <v>438.053</v>
      </c>
      <c r="ER12" s="108">
        <f t="shared" si="10"/>
        <v>347.586</v>
      </c>
      <c r="ES12" s="108">
        <f t="shared" si="10"/>
        <v>2910.732</v>
      </c>
      <c r="ET12" s="108">
        <f t="shared" si="10"/>
        <v>1323.961</v>
      </c>
      <c r="EU12" s="108">
        <f>SUM(EU14:EU20)</f>
        <v>18129.233</v>
      </c>
      <c r="EV12" s="108">
        <f aca="true" t="shared" si="11" ref="EV12:FG12">SUM(EV14:EV20)</f>
        <v>2301.4669999999996</v>
      </c>
      <c r="EW12" s="108">
        <f t="shared" si="11"/>
        <v>611.65</v>
      </c>
      <c r="EX12" s="108">
        <f t="shared" si="11"/>
        <v>1139.744</v>
      </c>
      <c r="EY12" s="108">
        <f t="shared" si="11"/>
        <v>1407.057</v>
      </c>
      <c r="EZ12" s="108">
        <f t="shared" si="11"/>
        <v>1095.8700000000001</v>
      </c>
      <c r="FA12" s="108">
        <f t="shared" si="11"/>
        <v>2171.738</v>
      </c>
      <c r="FB12" s="108">
        <f t="shared" si="11"/>
        <v>2089.55</v>
      </c>
      <c r="FC12" s="108">
        <f t="shared" si="11"/>
        <v>1506.711</v>
      </c>
      <c r="FD12" s="108">
        <f t="shared" si="11"/>
        <v>1296.747</v>
      </c>
      <c r="FE12" s="108">
        <f t="shared" si="11"/>
        <v>92.986</v>
      </c>
      <c r="FF12" s="108">
        <f t="shared" si="11"/>
        <v>1680.934</v>
      </c>
      <c r="FG12" s="108">
        <f t="shared" si="11"/>
        <v>739.199</v>
      </c>
      <c r="FH12" s="108">
        <f>SUM(FH14:FH20)</f>
        <v>10817.076000000001</v>
      </c>
      <c r="FI12" s="108">
        <f aca="true" t="shared" si="12" ref="FI12:FP12">SUM(FI14:FI20)</f>
        <v>1547.6709999999998</v>
      </c>
      <c r="FJ12" s="108">
        <f t="shared" si="12"/>
        <v>874.4140000000001</v>
      </c>
      <c r="FK12" s="108">
        <f t="shared" si="12"/>
        <v>1990.045</v>
      </c>
      <c r="FL12" s="108">
        <f t="shared" si="12"/>
        <v>3868.15</v>
      </c>
      <c r="FM12" s="108">
        <f t="shared" si="12"/>
        <v>5237.873</v>
      </c>
      <c r="FN12" s="108">
        <f t="shared" si="12"/>
        <v>89.07400000000001</v>
      </c>
      <c r="FO12" s="108">
        <f t="shared" si="12"/>
        <v>1294.064</v>
      </c>
      <c r="FP12" s="108">
        <f t="shared" si="12"/>
        <v>14901.291000000001</v>
      </c>
      <c r="FQ12" s="13"/>
      <c r="FR12" s="13"/>
      <c r="FS12" s="1"/>
      <c r="FT12" s="1"/>
      <c r="FU12" s="1"/>
      <c r="FV12" s="1"/>
      <c r="FW12" s="1"/>
      <c r="FX12" s="1"/>
    </row>
    <row r="13" spans="1:180" ht="15.75">
      <c r="A13" s="63"/>
      <c r="B13" s="41"/>
      <c r="C13" s="41"/>
      <c r="D13" s="41"/>
      <c r="E13" s="90"/>
      <c r="F13" s="90"/>
      <c r="G13" s="90"/>
      <c r="H13" s="90"/>
      <c r="I13" s="90"/>
      <c r="J13" s="90"/>
      <c r="K13" s="90"/>
      <c r="L13" s="90"/>
      <c r="M13" s="41"/>
      <c r="N13" s="109" t="s">
        <v>27</v>
      </c>
      <c r="O13" s="110" t="s">
        <v>27</v>
      </c>
      <c r="P13" s="104"/>
      <c r="Q13" s="105"/>
      <c r="R13" s="105"/>
      <c r="S13" s="104"/>
      <c r="T13" s="104"/>
      <c r="U13" s="77"/>
      <c r="V13" s="77"/>
      <c r="W13" s="105"/>
      <c r="X13" s="105"/>
      <c r="Y13" s="106"/>
      <c r="Z13" s="105"/>
      <c r="AA13" s="105"/>
      <c r="AB13" s="105"/>
      <c r="AC13" s="106"/>
      <c r="AD13" s="105"/>
      <c r="AE13" s="106"/>
      <c r="AF13" s="105"/>
      <c r="AG13" s="105"/>
      <c r="AH13" s="106"/>
      <c r="AI13" s="106"/>
      <c r="AJ13" s="106"/>
      <c r="AK13" s="106"/>
      <c r="AL13" s="106"/>
      <c r="AM13" s="106"/>
      <c r="AN13" s="107"/>
      <c r="AO13" s="107"/>
      <c r="AP13" s="77"/>
      <c r="AQ13" s="77"/>
      <c r="AR13" s="77"/>
      <c r="AS13" s="77"/>
      <c r="AT13" s="77"/>
      <c r="AU13" s="107"/>
      <c r="AV13" s="77"/>
      <c r="AW13" s="77"/>
      <c r="AX13" s="107"/>
      <c r="AY13" s="105"/>
      <c r="AZ13" s="106"/>
      <c r="BA13" s="106"/>
      <c r="BB13" s="106"/>
      <c r="BC13" s="106"/>
      <c r="BD13" s="106"/>
      <c r="BE13" s="106"/>
      <c r="BF13" s="106"/>
      <c r="BG13" s="107"/>
      <c r="BH13" s="107"/>
      <c r="BI13" s="77"/>
      <c r="BJ13" s="107"/>
      <c r="BK13" s="77"/>
      <c r="BL13" s="77"/>
      <c r="BM13" s="77"/>
      <c r="BN13" s="77"/>
      <c r="BO13" s="77"/>
      <c r="BP13" s="77"/>
      <c r="BQ13" s="77"/>
      <c r="BR13" s="77"/>
      <c r="BS13" s="77"/>
      <c r="BT13" s="105"/>
      <c r="BU13" s="107"/>
      <c r="BV13" s="77"/>
      <c r="BW13" s="7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11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8"/>
      <c r="CW13" s="107"/>
      <c r="CX13" s="107"/>
      <c r="CY13" s="107"/>
      <c r="CZ13" s="107"/>
      <c r="DA13" s="112"/>
      <c r="DB13" s="112"/>
      <c r="DC13" s="112"/>
      <c r="DD13" s="112"/>
      <c r="DE13" s="112"/>
      <c r="DF13" s="112"/>
      <c r="DG13" s="112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9"/>
      <c r="EM13" s="2"/>
      <c r="EN13" s="2"/>
      <c r="EO13" s="2"/>
      <c r="EP13" s="2"/>
      <c r="EQ13" s="2"/>
      <c r="ER13" s="2"/>
      <c r="ES13" s="2"/>
      <c r="ET13" s="2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3"/>
      <c r="FR13" s="13"/>
      <c r="FS13" s="12"/>
      <c r="FT13" s="12"/>
      <c r="FU13" s="12"/>
      <c r="FV13" s="12"/>
      <c r="FW13" s="12"/>
      <c r="FX13" s="12"/>
    </row>
    <row r="14" spans="1:180" ht="15.75">
      <c r="A14" s="103" t="s">
        <v>28</v>
      </c>
      <c r="B14" s="41"/>
      <c r="C14" s="41"/>
      <c r="D14" s="41"/>
      <c r="E14" s="90">
        <v>52</v>
      </c>
      <c r="F14" s="90">
        <v>85</v>
      </c>
      <c r="G14" s="90">
        <v>173</v>
      </c>
      <c r="H14" s="90">
        <v>221</v>
      </c>
      <c r="I14" s="90">
        <v>190</v>
      </c>
      <c r="J14" s="90">
        <v>182</v>
      </c>
      <c r="K14" s="90">
        <v>468</v>
      </c>
      <c r="L14" s="90">
        <v>157</v>
      </c>
      <c r="M14" s="90">
        <v>341</v>
      </c>
      <c r="N14" s="104">
        <v>189</v>
      </c>
      <c r="O14" s="105">
        <v>27</v>
      </c>
      <c r="P14" s="104">
        <v>21</v>
      </c>
      <c r="Q14" s="113">
        <v>30</v>
      </c>
      <c r="R14" s="105">
        <v>175.063</v>
      </c>
      <c r="S14" s="114" t="s">
        <v>29</v>
      </c>
      <c r="T14" s="104">
        <v>3</v>
      </c>
      <c r="U14" s="115" t="s">
        <v>66</v>
      </c>
      <c r="V14" s="77">
        <v>16</v>
      </c>
      <c r="W14" s="115" t="s">
        <v>80</v>
      </c>
      <c r="X14" s="116">
        <v>29</v>
      </c>
      <c r="Y14" s="117">
        <v>18</v>
      </c>
      <c r="Z14" s="105">
        <v>43</v>
      </c>
      <c r="AA14" s="105">
        <v>17</v>
      </c>
      <c r="AB14" s="115" t="s">
        <v>80</v>
      </c>
      <c r="AC14" s="106">
        <f>16+17</f>
        <v>33</v>
      </c>
      <c r="AD14" s="105">
        <v>16.063</v>
      </c>
      <c r="AE14" s="117">
        <f>SUM(S14:AD14)</f>
        <v>175.063</v>
      </c>
      <c r="AF14" s="113" t="s">
        <v>80</v>
      </c>
      <c r="AG14" s="113">
        <v>496</v>
      </c>
      <c r="AH14" s="117">
        <v>290</v>
      </c>
      <c r="AI14" s="117">
        <v>613</v>
      </c>
      <c r="AJ14" s="117">
        <v>375</v>
      </c>
      <c r="AK14" s="117">
        <v>1575</v>
      </c>
      <c r="AL14" s="113" t="s">
        <v>29</v>
      </c>
      <c r="AM14" s="220">
        <v>0</v>
      </c>
      <c r="AN14" s="113" t="s">
        <v>29</v>
      </c>
      <c r="AO14" s="113" t="s">
        <v>29</v>
      </c>
      <c r="AP14" s="113" t="s">
        <v>29</v>
      </c>
      <c r="AQ14" s="113" t="s">
        <v>29</v>
      </c>
      <c r="AR14" s="113" t="s">
        <v>29</v>
      </c>
      <c r="AS14" s="113" t="s">
        <v>29</v>
      </c>
      <c r="AT14" s="113" t="s">
        <v>29</v>
      </c>
      <c r="AU14" s="113" t="s">
        <v>29</v>
      </c>
      <c r="AV14" s="113" t="s">
        <v>29</v>
      </c>
      <c r="AW14" s="113" t="s">
        <v>29</v>
      </c>
      <c r="AX14" s="113" t="s">
        <v>29</v>
      </c>
      <c r="AY14" s="113" t="s">
        <v>29</v>
      </c>
      <c r="AZ14" s="113" t="s">
        <v>29</v>
      </c>
      <c r="BA14" s="220">
        <v>0</v>
      </c>
      <c r="BB14" s="220">
        <v>0</v>
      </c>
      <c r="BC14" s="220">
        <v>0</v>
      </c>
      <c r="BD14" s="113">
        <v>29</v>
      </c>
      <c r="BE14" s="113">
        <v>129.7</v>
      </c>
      <c r="BF14" s="113">
        <v>367.67</v>
      </c>
      <c r="BG14" s="107">
        <v>50.64</v>
      </c>
      <c r="BH14" s="107">
        <v>19.5</v>
      </c>
      <c r="BI14" s="113" t="s">
        <v>29</v>
      </c>
      <c r="BJ14" s="113" t="s">
        <v>29</v>
      </c>
      <c r="BK14" s="113" t="s">
        <v>29</v>
      </c>
      <c r="BL14" s="113" t="s">
        <v>29</v>
      </c>
      <c r="BM14" s="113" t="s">
        <v>29</v>
      </c>
      <c r="BN14" s="113" t="s">
        <v>29</v>
      </c>
      <c r="BO14" s="113" t="s">
        <v>29</v>
      </c>
      <c r="BP14" s="113" t="s">
        <v>29</v>
      </c>
      <c r="BQ14" s="113" t="s">
        <v>29</v>
      </c>
      <c r="BR14" s="113" t="s">
        <v>29</v>
      </c>
      <c r="BS14" s="113" t="s">
        <v>29</v>
      </c>
      <c r="BT14" s="113" t="s">
        <v>29</v>
      </c>
      <c r="BU14" s="113" t="s">
        <v>29</v>
      </c>
      <c r="BV14" s="113" t="s">
        <v>29</v>
      </c>
      <c r="BW14" s="113" t="s">
        <v>29</v>
      </c>
      <c r="BX14" s="113" t="s">
        <v>29</v>
      </c>
      <c r="BY14" s="113" t="s">
        <v>29</v>
      </c>
      <c r="BZ14" s="113" t="s">
        <v>29</v>
      </c>
      <c r="CA14" s="113" t="s">
        <v>29</v>
      </c>
      <c r="CB14" s="113" t="s">
        <v>29</v>
      </c>
      <c r="CC14" s="113" t="s">
        <v>29</v>
      </c>
      <c r="CD14" s="113" t="s">
        <v>29</v>
      </c>
      <c r="CE14" s="113" t="s">
        <v>29</v>
      </c>
      <c r="CF14" s="113" t="s">
        <v>29</v>
      </c>
      <c r="CG14" s="113" t="s">
        <v>29</v>
      </c>
      <c r="CH14" s="113" t="s">
        <v>29</v>
      </c>
      <c r="CI14" s="113" t="s">
        <v>29</v>
      </c>
      <c r="CJ14" s="113" t="s">
        <v>29</v>
      </c>
      <c r="CK14" s="113" t="s">
        <v>29</v>
      </c>
      <c r="CL14" s="113" t="s">
        <v>29</v>
      </c>
      <c r="CM14" s="113" t="s">
        <v>29</v>
      </c>
      <c r="CN14" s="113" t="s">
        <v>29</v>
      </c>
      <c r="CO14" s="113" t="s">
        <v>29</v>
      </c>
      <c r="CP14" s="113" t="s">
        <v>29</v>
      </c>
      <c r="CQ14" s="113" t="s">
        <v>29</v>
      </c>
      <c r="CR14" s="113" t="s">
        <v>29</v>
      </c>
      <c r="CS14" s="113" t="s">
        <v>29</v>
      </c>
      <c r="CT14" s="113" t="s">
        <v>29</v>
      </c>
      <c r="CU14" s="113"/>
      <c r="CV14" s="113" t="s">
        <v>29</v>
      </c>
      <c r="CW14" s="113" t="s">
        <v>29</v>
      </c>
      <c r="CX14" s="113" t="s">
        <v>29</v>
      </c>
      <c r="CY14" s="113" t="s">
        <v>29</v>
      </c>
      <c r="CZ14" s="113" t="s">
        <v>29</v>
      </c>
      <c r="DA14" s="113" t="s">
        <v>29</v>
      </c>
      <c r="DB14" s="113" t="s">
        <v>29</v>
      </c>
      <c r="DC14" s="113" t="s">
        <v>29</v>
      </c>
      <c r="DD14" s="113">
        <v>29</v>
      </c>
      <c r="DE14" s="113" t="s">
        <v>29</v>
      </c>
      <c r="DF14" s="113" t="s">
        <v>29</v>
      </c>
      <c r="DG14" s="113" t="s">
        <v>29</v>
      </c>
      <c r="DH14" s="108">
        <f>SUM(CV14:DG14)</f>
        <v>29</v>
      </c>
      <c r="DI14" s="113" t="s">
        <v>29</v>
      </c>
      <c r="DJ14" s="113">
        <v>129.7</v>
      </c>
      <c r="DK14" s="220">
        <v>0</v>
      </c>
      <c r="DL14" s="220">
        <v>0</v>
      </c>
      <c r="DM14" s="113" t="s">
        <v>29</v>
      </c>
      <c r="DN14" s="113" t="s">
        <v>29</v>
      </c>
      <c r="DO14" s="113" t="s">
        <v>29</v>
      </c>
      <c r="DP14" s="113" t="s">
        <v>29</v>
      </c>
      <c r="DQ14" s="113" t="s">
        <v>29</v>
      </c>
      <c r="DR14" s="208">
        <v>0</v>
      </c>
      <c r="DS14" s="208"/>
      <c r="DT14" s="208" t="s">
        <v>29</v>
      </c>
      <c r="DU14" s="108">
        <f aca="true" t="shared" si="13" ref="DU14:DU20">SUM(DI14:DT14)</f>
        <v>129.7</v>
      </c>
      <c r="DV14" s="108">
        <v>0</v>
      </c>
      <c r="DW14" s="220">
        <v>0</v>
      </c>
      <c r="DX14" s="220">
        <v>0</v>
      </c>
      <c r="DY14" s="108">
        <v>230.6</v>
      </c>
      <c r="DZ14" s="108">
        <v>112.87</v>
      </c>
      <c r="EA14" s="108">
        <v>3.2</v>
      </c>
      <c r="EB14" s="113" t="s">
        <v>29</v>
      </c>
      <c r="EC14" s="113" t="s">
        <v>29</v>
      </c>
      <c r="ED14" s="220">
        <v>0</v>
      </c>
      <c r="EE14" s="208">
        <v>0</v>
      </c>
      <c r="EF14" s="208">
        <v>21</v>
      </c>
      <c r="EG14" s="208">
        <v>0</v>
      </c>
      <c r="EH14" s="108">
        <f>SUM(DV14:EG14)</f>
        <v>367.67</v>
      </c>
      <c r="EI14" s="208">
        <v>0</v>
      </c>
      <c r="EJ14" s="208">
        <v>0</v>
      </c>
      <c r="EK14" s="208">
        <v>0</v>
      </c>
      <c r="EL14" s="108">
        <v>25.96</v>
      </c>
      <c r="EM14" s="220">
        <v>0</v>
      </c>
      <c r="EN14" s="220">
        <v>0</v>
      </c>
      <c r="EO14" s="108">
        <v>0.58</v>
      </c>
      <c r="EP14" s="220">
        <v>0</v>
      </c>
      <c r="EQ14" s="220">
        <v>0</v>
      </c>
      <c r="ER14" s="108">
        <v>23.4</v>
      </c>
      <c r="ES14" s="108">
        <v>0.7</v>
      </c>
      <c r="ET14" s="208">
        <v>0</v>
      </c>
      <c r="EU14" s="108">
        <f>SUM(EI14:ET14)</f>
        <v>50.64</v>
      </c>
      <c r="EV14" s="108">
        <v>0</v>
      </c>
      <c r="EW14" s="108">
        <v>1.95</v>
      </c>
      <c r="EX14" s="208">
        <v>0</v>
      </c>
      <c r="EY14" s="208">
        <v>0</v>
      </c>
      <c r="EZ14" s="220">
        <v>0</v>
      </c>
      <c r="FA14" s="108">
        <v>17.55</v>
      </c>
      <c r="FB14" s="248">
        <v>0</v>
      </c>
      <c r="FC14" s="248">
        <v>0</v>
      </c>
      <c r="FD14" s="248">
        <v>0</v>
      </c>
      <c r="FE14" s="248">
        <v>0</v>
      </c>
      <c r="FF14" s="220">
        <v>0</v>
      </c>
      <c r="FG14" s="208">
        <v>0</v>
      </c>
      <c r="FH14" s="108">
        <f aca="true" t="shared" si="14" ref="FH14:FH20">SUM(EV14:FB14)</f>
        <v>19.5</v>
      </c>
      <c r="FI14" s="220">
        <v>0</v>
      </c>
      <c r="FJ14" s="220">
        <v>0</v>
      </c>
      <c r="FK14" s="220">
        <v>0</v>
      </c>
      <c r="FL14" s="108">
        <v>18.15</v>
      </c>
      <c r="FM14" s="220">
        <v>0</v>
      </c>
      <c r="FN14" s="220">
        <v>0</v>
      </c>
      <c r="FO14" s="248">
        <v>22.69</v>
      </c>
      <c r="FP14" s="108">
        <f>SUM(FI14:FO14)</f>
        <v>40.84</v>
      </c>
      <c r="FQ14" s="14"/>
      <c r="FR14" s="14"/>
      <c r="FS14" s="13"/>
      <c r="FT14" s="13"/>
      <c r="FU14" s="13"/>
      <c r="FV14" s="13"/>
      <c r="FW14" s="12"/>
      <c r="FX14" s="12"/>
    </row>
    <row r="15" spans="1:180" ht="15.75">
      <c r="A15" s="103" t="s">
        <v>30</v>
      </c>
      <c r="B15" s="41"/>
      <c r="C15" s="41"/>
      <c r="D15" s="41"/>
      <c r="E15" s="90">
        <v>5007</v>
      </c>
      <c r="F15" s="90">
        <v>6050</v>
      </c>
      <c r="G15" s="90">
        <v>4803</v>
      </c>
      <c r="H15" s="90">
        <v>7901</v>
      </c>
      <c r="I15" s="90">
        <v>7536</v>
      </c>
      <c r="J15" s="90">
        <v>4061</v>
      </c>
      <c r="K15" s="90">
        <v>8687</v>
      </c>
      <c r="L15" s="90">
        <v>6648</v>
      </c>
      <c r="M15" s="90">
        <v>8085</v>
      </c>
      <c r="N15" s="104">
        <v>2730</v>
      </c>
      <c r="O15" s="105">
        <v>7271</v>
      </c>
      <c r="P15" s="104">
        <v>11524</v>
      </c>
      <c r="Q15" s="105">
        <v>6381</v>
      </c>
      <c r="R15" s="105">
        <v>6773.05</v>
      </c>
      <c r="S15" s="104">
        <v>770</v>
      </c>
      <c r="T15" s="104">
        <v>468</v>
      </c>
      <c r="U15" s="77">
        <v>375</v>
      </c>
      <c r="V15" s="77">
        <v>839</v>
      </c>
      <c r="W15" s="105">
        <f>359+44</f>
        <v>403</v>
      </c>
      <c r="X15" s="105">
        <v>143</v>
      </c>
      <c r="Y15" s="117">
        <v>461</v>
      </c>
      <c r="Z15" s="105">
        <v>452</v>
      </c>
      <c r="AA15" s="105">
        <v>420</v>
      </c>
      <c r="AB15" s="105">
        <v>373</v>
      </c>
      <c r="AC15" s="106">
        <f>1323+35</f>
        <v>1358</v>
      </c>
      <c r="AD15" s="105">
        <v>711.05</v>
      </c>
      <c r="AE15" s="117">
        <f>SUM(S15:AD15)</f>
        <v>6773.05</v>
      </c>
      <c r="AF15" s="113">
        <v>5929.65</v>
      </c>
      <c r="AG15" s="113">
        <v>7196</v>
      </c>
      <c r="AH15" s="117">
        <v>7221</v>
      </c>
      <c r="AI15" s="117">
        <v>5731</v>
      </c>
      <c r="AJ15" s="117">
        <v>7246</v>
      </c>
      <c r="AK15" s="117">
        <v>3143</v>
      </c>
      <c r="AL15" s="77">
        <v>998.05</v>
      </c>
      <c r="AM15" s="77">
        <v>1187.6</v>
      </c>
      <c r="AN15" s="113" t="s">
        <v>29</v>
      </c>
      <c r="AO15" s="113" t="s">
        <v>29</v>
      </c>
      <c r="AP15" s="113">
        <v>29</v>
      </c>
      <c r="AQ15" s="77" t="s">
        <v>29</v>
      </c>
      <c r="AR15" s="113" t="s">
        <v>29</v>
      </c>
      <c r="AS15" s="113" t="s">
        <v>29</v>
      </c>
      <c r="AT15" s="77" t="s">
        <v>29</v>
      </c>
      <c r="AU15" s="113">
        <v>680.95</v>
      </c>
      <c r="AV15" s="113">
        <v>240.65</v>
      </c>
      <c r="AW15" s="113" t="s">
        <v>29</v>
      </c>
      <c r="AX15" s="113">
        <v>237</v>
      </c>
      <c r="AY15" s="113" t="s">
        <v>29</v>
      </c>
      <c r="AZ15" s="77">
        <f>SUM(AN15:AY15)</f>
        <v>1187.6</v>
      </c>
      <c r="BA15" s="116">
        <v>615</v>
      </c>
      <c r="BB15" s="220">
        <v>0</v>
      </c>
      <c r="BC15" s="220">
        <v>0</v>
      </c>
      <c r="BD15" s="220">
        <v>0</v>
      </c>
      <c r="BE15" s="113">
        <v>11.05</v>
      </c>
      <c r="BF15" s="220">
        <v>0</v>
      </c>
      <c r="BG15" s="107">
        <v>235.45</v>
      </c>
      <c r="BH15" s="107">
        <v>272</v>
      </c>
      <c r="BI15" s="113" t="s">
        <v>29</v>
      </c>
      <c r="BJ15" s="113" t="s">
        <v>29</v>
      </c>
      <c r="BK15" s="113" t="s">
        <v>29</v>
      </c>
      <c r="BL15" s="113" t="s">
        <v>29</v>
      </c>
      <c r="BM15" s="113" t="s">
        <v>29</v>
      </c>
      <c r="BN15" s="113" t="s">
        <v>29</v>
      </c>
      <c r="BO15" s="113" t="s">
        <v>29</v>
      </c>
      <c r="BP15" s="113">
        <v>316</v>
      </c>
      <c r="BQ15" s="113">
        <v>262</v>
      </c>
      <c r="BR15" s="113" t="s">
        <v>29</v>
      </c>
      <c r="BS15" s="113" t="s">
        <v>29</v>
      </c>
      <c r="BT15" s="113">
        <v>37</v>
      </c>
      <c r="BU15" s="107">
        <f aca="true" t="shared" si="15" ref="BU15:BU20">SUM(BI15:BT15)</f>
        <v>615</v>
      </c>
      <c r="BV15" s="113" t="s">
        <v>29</v>
      </c>
      <c r="BW15" s="113" t="s">
        <v>29</v>
      </c>
      <c r="BX15" s="113" t="s">
        <v>29</v>
      </c>
      <c r="BY15" s="113" t="s">
        <v>29</v>
      </c>
      <c r="BZ15" s="113" t="s">
        <v>29</v>
      </c>
      <c r="CA15" s="113" t="s">
        <v>29</v>
      </c>
      <c r="CB15" s="113" t="s">
        <v>29</v>
      </c>
      <c r="CC15" s="113" t="s">
        <v>29</v>
      </c>
      <c r="CD15" s="113" t="s">
        <v>29</v>
      </c>
      <c r="CE15" s="113" t="s">
        <v>29</v>
      </c>
      <c r="CF15" s="113" t="s">
        <v>29</v>
      </c>
      <c r="CG15" s="113" t="s">
        <v>29</v>
      </c>
      <c r="CH15" s="113" t="s">
        <v>29</v>
      </c>
      <c r="CI15" s="113" t="s">
        <v>29</v>
      </c>
      <c r="CJ15" s="113" t="s">
        <v>29</v>
      </c>
      <c r="CK15" s="113" t="s">
        <v>29</v>
      </c>
      <c r="CL15" s="113" t="s">
        <v>29</v>
      </c>
      <c r="CM15" s="113" t="s">
        <v>29</v>
      </c>
      <c r="CN15" s="113" t="s">
        <v>29</v>
      </c>
      <c r="CO15" s="113" t="s">
        <v>29</v>
      </c>
      <c r="CP15" s="113" t="s">
        <v>29</v>
      </c>
      <c r="CQ15" s="113" t="s">
        <v>29</v>
      </c>
      <c r="CR15" s="113" t="s">
        <v>29</v>
      </c>
      <c r="CS15" s="113" t="s">
        <v>29</v>
      </c>
      <c r="CT15" s="113" t="s">
        <v>29</v>
      </c>
      <c r="CU15" s="113"/>
      <c r="CV15" s="113" t="s">
        <v>29</v>
      </c>
      <c r="CW15" s="113" t="s">
        <v>29</v>
      </c>
      <c r="CX15" s="113" t="s">
        <v>29</v>
      </c>
      <c r="CY15" s="113" t="s">
        <v>29</v>
      </c>
      <c r="CZ15" s="113" t="s">
        <v>29</v>
      </c>
      <c r="DA15" s="113" t="s">
        <v>29</v>
      </c>
      <c r="DB15" s="113" t="s">
        <v>29</v>
      </c>
      <c r="DC15" s="113" t="s">
        <v>29</v>
      </c>
      <c r="DD15" s="113" t="s">
        <v>29</v>
      </c>
      <c r="DE15" s="113" t="s">
        <v>29</v>
      </c>
      <c r="DF15" s="113" t="s">
        <v>29</v>
      </c>
      <c r="DG15" s="113" t="s">
        <v>29</v>
      </c>
      <c r="DH15" s="113" t="s">
        <v>29</v>
      </c>
      <c r="DI15" s="113" t="s">
        <v>29</v>
      </c>
      <c r="DJ15" s="220">
        <v>0</v>
      </c>
      <c r="DK15" s="220">
        <v>0</v>
      </c>
      <c r="DL15" s="113">
        <v>11.05</v>
      </c>
      <c r="DM15" s="113" t="s">
        <v>29</v>
      </c>
      <c r="DN15" s="113" t="s">
        <v>29</v>
      </c>
      <c r="DO15" s="113" t="s">
        <v>29</v>
      </c>
      <c r="DP15" s="113" t="s">
        <v>29</v>
      </c>
      <c r="DQ15" s="113" t="s">
        <v>29</v>
      </c>
      <c r="DR15" s="208">
        <v>0</v>
      </c>
      <c r="DS15" s="208"/>
      <c r="DT15" s="208"/>
      <c r="DU15" s="108">
        <f t="shared" si="13"/>
        <v>11.05</v>
      </c>
      <c r="DV15" s="108">
        <v>0</v>
      </c>
      <c r="DW15" s="220">
        <v>0</v>
      </c>
      <c r="DX15" s="220">
        <v>0</v>
      </c>
      <c r="DY15" s="220">
        <v>0</v>
      </c>
      <c r="DZ15" s="113" t="s">
        <v>29</v>
      </c>
      <c r="EA15" s="113" t="s">
        <v>29</v>
      </c>
      <c r="EB15" s="113" t="s">
        <v>29</v>
      </c>
      <c r="EC15" s="113" t="s">
        <v>29</v>
      </c>
      <c r="ED15" s="220">
        <v>0</v>
      </c>
      <c r="EE15" s="208">
        <v>0</v>
      </c>
      <c r="EF15" s="208">
        <v>0</v>
      </c>
      <c r="EG15" s="208">
        <v>0</v>
      </c>
      <c r="EH15" s="220">
        <v>0</v>
      </c>
      <c r="EI15" s="220">
        <v>0</v>
      </c>
      <c r="EJ15" s="220">
        <v>0</v>
      </c>
      <c r="EK15" s="220">
        <v>0</v>
      </c>
      <c r="EL15" s="220">
        <v>0</v>
      </c>
      <c r="EM15" s="220">
        <v>0</v>
      </c>
      <c r="EN15" s="220">
        <v>0</v>
      </c>
      <c r="EO15" s="220">
        <v>0</v>
      </c>
      <c r="EP15" s="220">
        <v>0</v>
      </c>
      <c r="EQ15" s="220">
        <v>0</v>
      </c>
      <c r="ER15" s="220">
        <v>0</v>
      </c>
      <c r="ES15" s="220">
        <v>0</v>
      </c>
      <c r="ET15" s="220">
        <v>0</v>
      </c>
      <c r="EU15" s="220">
        <v>0</v>
      </c>
      <c r="EV15" s="220">
        <v>0</v>
      </c>
      <c r="EW15" s="220">
        <v>0</v>
      </c>
      <c r="EX15" s="108">
        <v>272</v>
      </c>
      <c r="EY15" s="220">
        <v>0</v>
      </c>
      <c r="EZ15" s="304">
        <v>0</v>
      </c>
      <c r="FA15" s="305">
        <v>0</v>
      </c>
      <c r="FB15" s="305">
        <v>0</v>
      </c>
      <c r="FC15" s="305">
        <v>0</v>
      </c>
      <c r="FD15" s="305">
        <v>0</v>
      </c>
      <c r="FE15" s="248">
        <v>0</v>
      </c>
      <c r="FF15" s="220">
        <v>0</v>
      </c>
      <c r="FG15" s="208">
        <v>0</v>
      </c>
      <c r="FH15" s="108">
        <f t="shared" si="14"/>
        <v>272</v>
      </c>
      <c r="FI15" s="220">
        <v>0</v>
      </c>
      <c r="FJ15" s="220">
        <v>0</v>
      </c>
      <c r="FK15" s="220">
        <v>0</v>
      </c>
      <c r="FL15" s="220">
        <v>0</v>
      </c>
      <c r="FM15" s="220">
        <v>0</v>
      </c>
      <c r="FN15" s="220">
        <v>0</v>
      </c>
      <c r="FO15" s="305">
        <v>0</v>
      </c>
      <c r="FP15" s="220">
        <v>0</v>
      </c>
      <c r="FQ15" s="14"/>
      <c r="FR15" s="13"/>
      <c r="FS15" s="14"/>
      <c r="FT15" s="14"/>
      <c r="FU15" s="14"/>
      <c r="FV15" s="24"/>
      <c r="FW15" s="24"/>
      <c r="FX15" s="14"/>
    </row>
    <row r="16" spans="1:180" ht="15.75">
      <c r="A16" s="103" t="s">
        <v>31</v>
      </c>
      <c r="B16" s="41"/>
      <c r="C16" s="41"/>
      <c r="D16" s="41"/>
      <c r="E16" s="90">
        <v>81</v>
      </c>
      <c r="F16" s="118" t="s">
        <v>29</v>
      </c>
      <c r="G16" s="118" t="s">
        <v>29</v>
      </c>
      <c r="H16" s="90">
        <v>180</v>
      </c>
      <c r="I16" s="90">
        <v>767</v>
      </c>
      <c r="J16" s="90">
        <v>5</v>
      </c>
      <c r="K16" s="90">
        <v>400</v>
      </c>
      <c r="L16" s="118" t="s">
        <v>29</v>
      </c>
      <c r="M16" s="90">
        <v>2834</v>
      </c>
      <c r="N16" s="115" t="s">
        <v>80</v>
      </c>
      <c r="O16" s="105">
        <v>350</v>
      </c>
      <c r="P16" s="113" t="s">
        <v>80</v>
      </c>
      <c r="Q16" s="113" t="s">
        <v>80</v>
      </c>
      <c r="R16" s="113" t="s">
        <v>80</v>
      </c>
      <c r="S16" s="114" t="s">
        <v>29</v>
      </c>
      <c r="T16" s="114" t="s">
        <v>29</v>
      </c>
      <c r="U16" s="115" t="s">
        <v>66</v>
      </c>
      <c r="V16" s="113" t="s">
        <v>29</v>
      </c>
      <c r="W16" s="115" t="s">
        <v>80</v>
      </c>
      <c r="X16" s="119" t="s">
        <v>29</v>
      </c>
      <c r="Y16" s="120" t="s">
        <v>29</v>
      </c>
      <c r="Z16" s="121" t="s">
        <v>80</v>
      </c>
      <c r="AA16" s="121" t="s">
        <v>80</v>
      </c>
      <c r="AB16" s="115" t="s">
        <v>80</v>
      </c>
      <c r="AC16" s="115" t="s">
        <v>80</v>
      </c>
      <c r="AD16" s="113" t="s">
        <v>29</v>
      </c>
      <c r="AE16" s="120" t="s">
        <v>80</v>
      </c>
      <c r="AF16" s="113" t="s">
        <v>80</v>
      </c>
      <c r="AG16" s="113" t="s">
        <v>80</v>
      </c>
      <c r="AH16" s="113" t="s">
        <v>29</v>
      </c>
      <c r="AI16" s="113" t="s">
        <v>29</v>
      </c>
      <c r="AJ16" s="113" t="s">
        <v>29</v>
      </c>
      <c r="AK16" s="113">
        <v>840</v>
      </c>
      <c r="AL16" s="113" t="s">
        <v>29</v>
      </c>
      <c r="AM16" s="220">
        <v>0</v>
      </c>
      <c r="AN16" s="113" t="s">
        <v>29</v>
      </c>
      <c r="AO16" s="113" t="s">
        <v>29</v>
      </c>
      <c r="AP16" s="113" t="s">
        <v>29</v>
      </c>
      <c r="AQ16" s="113" t="s">
        <v>29</v>
      </c>
      <c r="AR16" s="113" t="s">
        <v>29</v>
      </c>
      <c r="AS16" s="113" t="s">
        <v>29</v>
      </c>
      <c r="AT16" s="113" t="s">
        <v>29</v>
      </c>
      <c r="AU16" s="113" t="s">
        <v>29</v>
      </c>
      <c r="AV16" s="113" t="s">
        <v>29</v>
      </c>
      <c r="AW16" s="113" t="s">
        <v>29</v>
      </c>
      <c r="AX16" s="113" t="s">
        <v>29</v>
      </c>
      <c r="AY16" s="113" t="s">
        <v>29</v>
      </c>
      <c r="AZ16" s="113" t="s">
        <v>29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v>0</v>
      </c>
      <c r="BG16" s="107">
        <v>864.211</v>
      </c>
      <c r="BH16" s="107">
        <v>81.2</v>
      </c>
      <c r="BI16" s="113" t="s">
        <v>29</v>
      </c>
      <c r="BJ16" s="113" t="s">
        <v>29</v>
      </c>
      <c r="BK16" s="113" t="s">
        <v>29</v>
      </c>
      <c r="BL16" s="113" t="s">
        <v>29</v>
      </c>
      <c r="BM16" s="113" t="s">
        <v>29</v>
      </c>
      <c r="BN16" s="113" t="s">
        <v>29</v>
      </c>
      <c r="BO16" s="113" t="s">
        <v>29</v>
      </c>
      <c r="BP16" s="113" t="s">
        <v>29</v>
      </c>
      <c r="BQ16" s="113" t="s">
        <v>29</v>
      </c>
      <c r="BR16" s="113" t="s">
        <v>29</v>
      </c>
      <c r="BS16" s="113" t="s">
        <v>29</v>
      </c>
      <c r="BT16" s="113" t="s">
        <v>29</v>
      </c>
      <c r="BU16" s="113" t="s">
        <v>29</v>
      </c>
      <c r="BV16" s="113" t="s">
        <v>29</v>
      </c>
      <c r="BW16" s="113" t="s">
        <v>29</v>
      </c>
      <c r="BX16" s="113" t="s">
        <v>29</v>
      </c>
      <c r="BY16" s="113" t="s">
        <v>29</v>
      </c>
      <c r="BZ16" s="113" t="s">
        <v>29</v>
      </c>
      <c r="CA16" s="113" t="s">
        <v>29</v>
      </c>
      <c r="CB16" s="113" t="s">
        <v>29</v>
      </c>
      <c r="CC16" s="113" t="s">
        <v>29</v>
      </c>
      <c r="CD16" s="113" t="s">
        <v>29</v>
      </c>
      <c r="CE16" s="113" t="s">
        <v>29</v>
      </c>
      <c r="CF16" s="113" t="s">
        <v>29</v>
      </c>
      <c r="CG16" s="113" t="s">
        <v>29</v>
      </c>
      <c r="CH16" s="113" t="s">
        <v>29</v>
      </c>
      <c r="CI16" s="113" t="s">
        <v>29</v>
      </c>
      <c r="CJ16" s="113" t="s">
        <v>29</v>
      </c>
      <c r="CK16" s="113" t="s">
        <v>29</v>
      </c>
      <c r="CL16" s="113" t="s">
        <v>29</v>
      </c>
      <c r="CM16" s="113" t="s">
        <v>29</v>
      </c>
      <c r="CN16" s="113" t="s">
        <v>29</v>
      </c>
      <c r="CO16" s="113" t="s">
        <v>29</v>
      </c>
      <c r="CP16" s="113" t="s">
        <v>29</v>
      </c>
      <c r="CQ16" s="113" t="s">
        <v>29</v>
      </c>
      <c r="CR16" s="113" t="s">
        <v>29</v>
      </c>
      <c r="CS16" s="113" t="s">
        <v>29</v>
      </c>
      <c r="CT16" s="113" t="s">
        <v>29</v>
      </c>
      <c r="CU16" s="113"/>
      <c r="CV16" s="113" t="s">
        <v>29</v>
      </c>
      <c r="CW16" s="113" t="s">
        <v>29</v>
      </c>
      <c r="CX16" s="113" t="s">
        <v>29</v>
      </c>
      <c r="CY16" s="113" t="s">
        <v>29</v>
      </c>
      <c r="CZ16" s="113" t="s">
        <v>29</v>
      </c>
      <c r="DA16" s="113" t="s">
        <v>29</v>
      </c>
      <c r="DB16" s="113" t="s">
        <v>29</v>
      </c>
      <c r="DC16" s="113" t="s">
        <v>29</v>
      </c>
      <c r="DD16" s="113" t="s">
        <v>29</v>
      </c>
      <c r="DE16" s="113" t="s">
        <v>29</v>
      </c>
      <c r="DF16" s="113" t="s">
        <v>29</v>
      </c>
      <c r="DG16" s="113" t="s">
        <v>29</v>
      </c>
      <c r="DH16" s="113" t="s">
        <v>29</v>
      </c>
      <c r="DI16" s="113" t="s">
        <v>29</v>
      </c>
      <c r="DJ16" s="220">
        <v>0</v>
      </c>
      <c r="DK16" s="220">
        <v>0</v>
      </c>
      <c r="DL16" s="220">
        <v>0</v>
      </c>
      <c r="DM16" s="113" t="s">
        <v>29</v>
      </c>
      <c r="DN16" s="113" t="s">
        <v>29</v>
      </c>
      <c r="DO16" s="113" t="s">
        <v>29</v>
      </c>
      <c r="DP16" s="113" t="s">
        <v>29</v>
      </c>
      <c r="DQ16" s="113" t="s">
        <v>29</v>
      </c>
      <c r="DR16" s="208">
        <v>0</v>
      </c>
      <c r="DS16" s="208"/>
      <c r="DT16" s="208"/>
      <c r="DU16" s="108">
        <f t="shared" si="13"/>
        <v>0</v>
      </c>
      <c r="DV16" s="108">
        <v>0</v>
      </c>
      <c r="DW16" s="220">
        <v>0</v>
      </c>
      <c r="DX16" s="220">
        <v>0</v>
      </c>
      <c r="DY16" s="220">
        <v>0</v>
      </c>
      <c r="DZ16" s="113" t="s">
        <v>29</v>
      </c>
      <c r="EA16" s="113" t="s">
        <v>29</v>
      </c>
      <c r="EB16" s="113" t="s">
        <v>29</v>
      </c>
      <c r="EC16" s="113" t="s">
        <v>29</v>
      </c>
      <c r="ED16" s="220">
        <v>0</v>
      </c>
      <c r="EE16" s="208">
        <v>0</v>
      </c>
      <c r="EF16" s="208">
        <v>0</v>
      </c>
      <c r="EG16" s="208">
        <v>0</v>
      </c>
      <c r="EH16" s="220">
        <v>0</v>
      </c>
      <c r="EI16" s="208">
        <v>0</v>
      </c>
      <c r="EJ16" s="208">
        <v>0</v>
      </c>
      <c r="EK16" s="208"/>
      <c r="EL16" s="108">
        <v>375</v>
      </c>
      <c r="EM16" s="108">
        <v>327</v>
      </c>
      <c r="EN16" s="220">
        <v>0</v>
      </c>
      <c r="EO16" s="108">
        <v>162.211</v>
      </c>
      <c r="EP16" s="220">
        <v>0</v>
      </c>
      <c r="EQ16" s="220">
        <v>0</v>
      </c>
      <c r="ER16" s="220">
        <v>0</v>
      </c>
      <c r="ES16" s="248">
        <v>0</v>
      </c>
      <c r="ET16" s="108">
        <v>0</v>
      </c>
      <c r="EU16" s="108">
        <f>SUM(EI16:ET16)</f>
        <v>864.211</v>
      </c>
      <c r="EV16" s="220">
        <v>0</v>
      </c>
      <c r="EW16" s="220">
        <v>0</v>
      </c>
      <c r="EX16" s="220">
        <v>0</v>
      </c>
      <c r="EY16" s="220">
        <v>0</v>
      </c>
      <c r="EZ16" s="304">
        <v>81.2</v>
      </c>
      <c r="FA16" s="305">
        <v>0</v>
      </c>
      <c r="FB16" s="305">
        <v>0</v>
      </c>
      <c r="FC16" s="305">
        <v>0</v>
      </c>
      <c r="FD16" s="305">
        <v>0</v>
      </c>
      <c r="FE16" s="248">
        <v>0</v>
      </c>
      <c r="FF16" s="220">
        <v>0</v>
      </c>
      <c r="FG16" s="208">
        <v>0</v>
      </c>
      <c r="FH16" s="108">
        <f t="shared" si="14"/>
        <v>81.2</v>
      </c>
      <c r="FI16" s="220">
        <v>0</v>
      </c>
      <c r="FJ16" s="220">
        <v>0</v>
      </c>
      <c r="FK16" s="220">
        <v>0</v>
      </c>
      <c r="FL16" s="220">
        <v>0</v>
      </c>
      <c r="FM16" s="220">
        <v>0</v>
      </c>
      <c r="FN16" s="220">
        <v>0</v>
      </c>
      <c r="FO16" s="305">
        <v>0</v>
      </c>
      <c r="FP16" s="220">
        <v>0</v>
      </c>
      <c r="FQ16" s="14"/>
      <c r="FR16" s="14"/>
      <c r="FS16" s="13"/>
      <c r="FT16" s="14"/>
      <c r="FU16" s="14"/>
      <c r="FV16" s="13"/>
      <c r="FW16" s="14"/>
      <c r="FX16" s="14"/>
    </row>
    <row r="17" spans="1:180" ht="15.75">
      <c r="A17" s="103" t="s">
        <v>32</v>
      </c>
      <c r="B17" s="41"/>
      <c r="C17" s="41"/>
      <c r="D17" s="41"/>
      <c r="E17" s="90">
        <v>11202</v>
      </c>
      <c r="F17" s="90">
        <v>13425</v>
      </c>
      <c r="G17" s="90">
        <v>10562</v>
      </c>
      <c r="H17" s="90">
        <v>13197</v>
      </c>
      <c r="I17" s="90">
        <v>19792</v>
      </c>
      <c r="J17" s="90">
        <v>10350</v>
      </c>
      <c r="K17" s="90">
        <v>14906</v>
      </c>
      <c r="L17" s="90">
        <v>25347</v>
      </c>
      <c r="M17" s="90">
        <v>21170</v>
      </c>
      <c r="N17" s="104">
        <v>4218</v>
      </c>
      <c r="O17" s="105">
        <v>4942</v>
      </c>
      <c r="P17" s="104">
        <v>9932</v>
      </c>
      <c r="Q17" s="105">
        <v>8347</v>
      </c>
      <c r="R17" s="105">
        <v>12072.925</v>
      </c>
      <c r="S17" s="104">
        <v>832</v>
      </c>
      <c r="T17" s="104">
        <v>1182</v>
      </c>
      <c r="U17" s="77">
        <v>547</v>
      </c>
      <c r="V17" s="77">
        <v>276</v>
      </c>
      <c r="W17" s="105">
        <v>1296</v>
      </c>
      <c r="X17" s="105">
        <v>1193</v>
      </c>
      <c r="Y17" s="106">
        <v>643</v>
      </c>
      <c r="Z17" s="105">
        <v>1945</v>
      </c>
      <c r="AA17" s="105">
        <v>996</v>
      </c>
      <c r="AB17" s="105">
        <v>282</v>
      </c>
      <c r="AC17" s="106">
        <v>1540</v>
      </c>
      <c r="AD17" s="105">
        <v>1340.925</v>
      </c>
      <c r="AE17" s="117">
        <f>SUM(S17:AD17)</f>
        <v>12072.925</v>
      </c>
      <c r="AF17" s="113">
        <v>5695.3640000000005</v>
      </c>
      <c r="AG17" s="113">
        <v>3699</v>
      </c>
      <c r="AH17" s="117">
        <v>2385</v>
      </c>
      <c r="AI17" s="117">
        <v>3934</v>
      </c>
      <c r="AJ17" s="117">
        <v>1623</v>
      </c>
      <c r="AK17" s="117">
        <v>4192</v>
      </c>
      <c r="AL17" s="77">
        <v>2231.5</v>
      </c>
      <c r="AM17" s="77">
        <v>2979.575</v>
      </c>
      <c r="AN17" s="113">
        <f>103.3+449.9</f>
        <v>553.1999999999999</v>
      </c>
      <c r="AO17" s="113">
        <f>109.05+870</f>
        <v>979.05</v>
      </c>
      <c r="AP17" s="77">
        <f>34.65+318.55</f>
        <v>353.2</v>
      </c>
      <c r="AQ17" s="113" t="s">
        <v>29</v>
      </c>
      <c r="AR17" s="113">
        <v>322.075</v>
      </c>
      <c r="AS17" s="113">
        <v>74.05</v>
      </c>
      <c r="AT17" s="113">
        <v>114</v>
      </c>
      <c r="AU17" s="113">
        <v>99.05</v>
      </c>
      <c r="AV17" s="113">
        <v>223.1</v>
      </c>
      <c r="AW17" s="113">
        <v>225</v>
      </c>
      <c r="AX17" s="77">
        <v>112.55</v>
      </c>
      <c r="AY17" s="113">
        <v>374.2</v>
      </c>
      <c r="AZ17" s="77">
        <f>SUM(AN17:AY17)</f>
        <v>3429.4750000000004</v>
      </c>
      <c r="BA17" s="77">
        <v>6233.35</v>
      </c>
      <c r="BB17" s="77">
        <v>6665.833</v>
      </c>
      <c r="BC17" s="77">
        <v>3824.1870000000004</v>
      </c>
      <c r="BD17" s="77">
        <v>874.962</v>
      </c>
      <c r="BE17" s="77">
        <v>131.89600000000002</v>
      </c>
      <c r="BF17" s="77">
        <v>7.937999999999999</v>
      </c>
      <c r="BG17" s="107">
        <v>136.00900000000001</v>
      </c>
      <c r="BH17" s="107">
        <v>83.965</v>
      </c>
      <c r="BI17" s="113">
        <f>740+102.9</f>
        <v>842.9</v>
      </c>
      <c r="BJ17" s="117">
        <f>75+1200</f>
        <v>1275</v>
      </c>
      <c r="BK17" s="113">
        <f>319.45+399.3</f>
        <v>718.75</v>
      </c>
      <c r="BL17" s="113">
        <f>75.5+200</f>
        <v>275.5</v>
      </c>
      <c r="BM17" s="113">
        <v>505.65</v>
      </c>
      <c r="BN17" s="113">
        <v>387.45</v>
      </c>
      <c r="BO17" s="113">
        <v>442.35</v>
      </c>
      <c r="BP17" s="113">
        <v>185.95</v>
      </c>
      <c r="BQ17" s="113">
        <v>315.3</v>
      </c>
      <c r="BR17" s="113">
        <v>176.95</v>
      </c>
      <c r="BS17" s="77">
        <v>559.95</v>
      </c>
      <c r="BT17" s="113">
        <v>547.6</v>
      </c>
      <c r="BU17" s="107">
        <f t="shared" si="15"/>
        <v>6233.35</v>
      </c>
      <c r="BV17" s="113">
        <v>582.2</v>
      </c>
      <c r="BW17" s="113">
        <v>600.4</v>
      </c>
      <c r="BX17" s="117">
        <v>1050.2</v>
      </c>
      <c r="BY17" s="107">
        <v>467.85</v>
      </c>
      <c r="BZ17" s="107">
        <v>851.45</v>
      </c>
      <c r="CA17" s="107">
        <v>541.3</v>
      </c>
      <c r="CB17" s="107">
        <v>624.9</v>
      </c>
      <c r="CC17" s="107">
        <v>192.075</v>
      </c>
      <c r="CD17" s="107">
        <v>308.95</v>
      </c>
      <c r="CE17" s="107">
        <v>283.9</v>
      </c>
      <c r="CF17" s="107">
        <v>618.1</v>
      </c>
      <c r="CG17" s="107">
        <v>544.508</v>
      </c>
      <c r="CH17" s="107">
        <f>SUM(BV17:CG17)</f>
        <v>6665.833</v>
      </c>
      <c r="CI17" s="107">
        <v>414.61</v>
      </c>
      <c r="CJ17" s="107">
        <v>940.1</v>
      </c>
      <c r="CK17" s="107">
        <v>543.25</v>
      </c>
      <c r="CL17" s="107">
        <v>589.414</v>
      </c>
      <c r="CM17" s="107">
        <v>408.085</v>
      </c>
      <c r="CN17" s="107">
        <v>220.11</v>
      </c>
      <c r="CO17" s="107">
        <v>240.898</v>
      </c>
      <c r="CP17" s="107">
        <v>160.8</v>
      </c>
      <c r="CQ17" s="107">
        <v>214.95</v>
      </c>
      <c r="CR17" s="107">
        <v>12.25</v>
      </c>
      <c r="CS17" s="107">
        <v>1.67</v>
      </c>
      <c r="CT17" s="107">
        <v>78.05</v>
      </c>
      <c r="CU17" s="107">
        <f>SUM(CI17:CT17)</f>
        <v>3824.1870000000004</v>
      </c>
      <c r="CV17" s="122">
        <v>95.85</v>
      </c>
      <c r="CW17" s="113" t="s">
        <v>29</v>
      </c>
      <c r="CX17" s="117">
        <v>89.3</v>
      </c>
      <c r="CY17" s="113" t="s">
        <v>29</v>
      </c>
      <c r="CZ17" s="117">
        <v>34.2</v>
      </c>
      <c r="DA17" s="123">
        <v>86.775</v>
      </c>
      <c r="DB17" s="123">
        <v>134.3</v>
      </c>
      <c r="DC17" s="123">
        <v>59.205</v>
      </c>
      <c r="DD17" s="123">
        <v>35</v>
      </c>
      <c r="DE17" s="123">
        <v>101.65</v>
      </c>
      <c r="DF17" s="123">
        <v>148.582</v>
      </c>
      <c r="DG17" s="123">
        <v>90.1</v>
      </c>
      <c r="DH17" s="108">
        <f>SUM(CV17:DG17)</f>
        <v>874.962</v>
      </c>
      <c r="DI17" s="108">
        <v>22.846</v>
      </c>
      <c r="DJ17" s="108"/>
      <c r="DK17" s="113">
        <v>0.2</v>
      </c>
      <c r="DL17" s="220">
        <v>0</v>
      </c>
      <c r="DM17" s="117">
        <v>0.125</v>
      </c>
      <c r="DN17" s="117">
        <v>0.25</v>
      </c>
      <c r="DO17" s="113" t="s">
        <v>29</v>
      </c>
      <c r="DP17" s="117">
        <v>3.575</v>
      </c>
      <c r="DQ17" s="113" t="s">
        <v>29</v>
      </c>
      <c r="DR17" s="117">
        <v>39.85</v>
      </c>
      <c r="DS17" s="117">
        <v>65.05</v>
      </c>
      <c r="DT17" s="117"/>
      <c r="DU17" s="108">
        <f t="shared" si="13"/>
        <v>131.89600000000002</v>
      </c>
      <c r="DV17" s="108">
        <v>0.408</v>
      </c>
      <c r="DW17" s="220">
        <v>0</v>
      </c>
      <c r="DX17" s="220">
        <v>0</v>
      </c>
      <c r="DY17" s="108">
        <v>2</v>
      </c>
      <c r="DZ17" s="108">
        <v>0.55</v>
      </c>
      <c r="EA17" s="108">
        <v>1</v>
      </c>
      <c r="EB17" s="113">
        <v>2</v>
      </c>
      <c r="EC17" s="117">
        <v>0.1</v>
      </c>
      <c r="ED17" s="117">
        <v>0.38</v>
      </c>
      <c r="EE17" s="117">
        <v>0.55</v>
      </c>
      <c r="EF17" s="208">
        <v>0</v>
      </c>
      <c r="EG17" s="208">
        <v>0.55</v>
      </c>
      <c r="EH17" s="108">
        <f>SUM(DV17:EG17)</f>
        <v>7.537999999999999</v>
      </c>
      <c r="EI17" s="108">
        <v>1</v>
      </c>
      <c r="EJ17" s="108">
        <v>1</v>
      </c>
      <c r="EK17" s="108">
        <v>1.625</v>
      </c>
      <c r="EL17" s="108">
        <f>'[1]V,2 English'!$K$3556+'[1]V,2 English'!$K$3597</f>
        <v>0</v>
      </c>
      <c r="EM17" s="220">
        <v>0</v>
      </c>
      <c r="EN17" s="108">
        <v>100</v>
      </c>
      <c r="EO17" s="220">
        <v>0</v>
      </c>
      <c r="EP17" s="108">
        <v>6.2</v>
      </c>
      <c r="EQ17" s="220">
        <v>0</v>
      </c>
      <c r="ER17" s="220">
        <v>0</v>
      </c>
      <c r="ES17" s="248">
        <v>3.35</v>
      </c>
      <c r="ET17" s="108">
        <v>4.75</v>
      </c>
      <c r="EU17" s="108">
        <f>SUM(EI17:ET17)</f>
        <v>117.925</v>
      </c>
      <c r="EV17" s="108">
        <v>6.95</v>
      </c>
      <c r="EW17" s="108">
        <v>0.7</v>
      </c>
      <c r="EX17" s="108">
        <v>0.9</v>
      </c>
      <c r="EY17" s="220">
        <v>0</v>
      </c>
      <c r="EZ17" s="305">
        <v>75.415</v>
      </c>
      <c r="FA17" s="305">
        <v>0</v>
      </c>
      <c r="FB17" s="305">
        <v>0</v>
      </c>
      <c r="FC17" s="305">
        <v>0</v>
      </c>
      <c r="FD17" s="305">
        <v>0</v>
      </c>
      <c r="FE17" s="248">
        <v>0</v>
      </c>
      <c r="FF17" s="220">
        <v>0</v>
      </c>
      <c r="FG17" s="208">
        <v>0</v>
      </c>
      <c r="FH17" s="108">
        <f t="shared" si="14"/>
        <v>83.965</v>
      </c>
      <c r="FI17" s="108">
        <v>0.6</v>
      </c>
      <c r="FJ17" s="220">
        <v>0</v>
      </c>
      <c r="FK17" s="220">
        <v>0</v>
      </c>
      <c r="FL17" s="220">
        <v>0</v>
      </c>
      <c r="FM17" s="220">
        <v>0</v>
      </c>
      <c r="FN17" s="220">
        <v>0</v>
      </c>
      <c r="FO17" s="248">
        <v>150</v>
      </c>
      <c r="FP17" s="108">
        <f>SUM(FI17:FO17)</f>
        <v>150.6</v>
      </c>
      <c r="FQ17" s="13"/>
      <c r="FR17" s="14"/>
      <c r="FS17" s="14"/>
      <c r="FT17" s="14"/>
      <c r="FU17" s="14"/>
      <c r="FV17" s="14"/>
      <c r="FW17" s="14"/>
      <c r="FX17" s="14"/>
    </row>
    <row r="18" spans="1:180" ht="15.75">
      <c r="A18" s="103" t="s">
        <v>33</v>
      </c>
      <c r="B18" s="41"/>
      <c r="C18" s="41"/>
      <c r="D18" s="41"/>
      <c r="E18" s="90">
        <v>20948</v>
      </c>
      <c r="F18" s="90">
        <v>18304</v>
      </c>
      <c r="G18" s="90">
        <v>8171</v>
      </c>
      <c r="H18" s="90">
        <v>6660</v>
      </c>
      <c r="I18" s="90">
        <v>6282</v>
      </c>
      <c r="J18" s="90">
        <v>1064</v>
      </c>
      <c r="K18" s="90">
        <v>3574</v>
      </c>
      <c r="L18" s="90">
        <v>12332</v>
      </c>
      <c r="M18" s="90">
        <v>18193</v>
      </c>
      <c r="N18" s="104">
        <v>4608</v>
      </c>
      <c r="O18" s="105">
        <v>3586</v>
      </c>
      <c r="P18" s="104">
        <v>2733</v>
      </c>
      <c r="Q18" s="105">
        <v>4891</v>
      </c>
      <c r="R18" s="105">
        <v>10335.75</v>
      </c>
      <c r="S18" s="104">
        <v>722</v>
      </c>
      <c r="T18" s="104">
        <v>683</v>
      </c>
      <c r="U18" s="77">
        <v>360</v>
      </c>
      <c r="V18" s="77">
        <v>722</v>
      </c>
      <c r="W18" s="105">
        <v>763</v>
      </c>
      <c r="X18" s="105">
        <v>194</v>
      </c>
      <c r="Y18" s="106">
        <v>489</v>
      </c>
      <c r="Z18" s="105">
        <v>654</v>
      </c>
      <c r="AA18" s="105">
        <v>924</v>
      </c>
      <c r="AB18" s="105">
        <v>1515</v>
      </c>
      <c r="AC18" s="106">
        <v>1931</v>
      </c>
      <c r="AD18" s="105">
        <v>1378.75</v>
      </c>
      <c r="AE18" s="117">
        <f>SUM(S18:AD18)</f>
        <v>10335.75</v>
      </c>
      <c r="AF18" s="113">
        <v>15293</v>
      </c>
      <c r="AG18" s="113">
        <v>9436</v>
      </c>
      <c r="AH18" s="117">
        <v>14133</v>
      </c>
      <c r="AI18" s="117">
        <v>11418</v>
      </c>
      <c r="AJ18" s="117">
        <v>13397</v>
      </c>
      <c r="AK18" s="117">
        <v>14581</v>
      </c>
      <c r="AL18" s="77">
        <v>12868.75</v>
      </c>
      <c r="AM18" s="77">
        <v>10808.4</v>
      </c>
      <c r="AN18" s="113">
        <v>804</v>
      </c>
      <c r="AO18" s="113">
        <v>998.2</v>
      </c>
      <c r="AP18" s="113">
        <v>376</v>
      </c>
      <c r="AQ18" s="77">
        <v>192</v>
      </c>
      <c r="AR18" s="113">
        <v>927</v>
      </c>
      <c r="AS18" s="77">
        <v>229.6</v>
      </c>
      <c r="AT18" s="77">
        <v>1351.25</v>
      </c>
      <c r="AU18" s="77">
        <v>777</v>
      </c>
      <c r="AV18" s="77">
        <v>1260</v>
      </c>
      <c r="AW18" s="77">
        <v>1374.9</v>
      </c>
      <c r="AX18" s="77">
        <v>1294</v>
      </c>
      <c r="AY18" s="113">
        <v>1224.45</v>
      </c>
      <c r="AZ18" s="77">
        <f>SUM(AN18:AY18)</f>
        <v>10808.4</v>
      </c>
      <c r="BA18" s="77">
        <v>18586.05</v>
      </c>
      <c r="BB18" s="77">
        <v>15346.1</v>
      </c>
      <c r="BC18" s="77">
        <v>26524.047</v>
      </c>
      <c r="BD18" s="77">
        <v>15172</v>
      </c>
      <c r="BE18" s="77">
        <v>4177.05</v>
      </c>
      <c r="BF18" s="77">
        <v>12180</v>
      </c>
      <c r="BG18" s="107">
        <v>11701.85</v>
      </c>
      <c r="BH18" s="107">
        <v>12517</v>
      </c>
      <c r="BI18" s="113">
        <v>2165.25</v>
      </c>
      <c r="BJ18" s="117">
        <v>450</v>
      </c>
      <c r="BK18" s="113">
        <v>2715.3</v>
      </c>
      <c r="BL18" s="113" t="s">
        <v>29</v>
      </c>
      <c r="BM18" s="113">
        <v>805.75</v>
      </c>
      <c r="BN18" s="77">
        <v>994.75</v>
      </c>
      <c r="BO18" s="77">
        <v>545</v>
      </c>
      <c r="BP18" s="77">
        <v>2790</v>
      </c>
      <c r="BQ18" s="77">
        <v>2903</v>
      </c>
      <c r="BR18" s="77">
        <v>2457</v>
      </c>
      <c r="BS18" s="77">
        <v>1859</v>
      </c>
      <c r="BT18" s="113">
        <v>901</v>
      </c>
      <c r="BU18" s="107">
        <f t="shared" si="15"/>
        <v>18586.05</v>
      </c>
      <c r="BV18" s="105">
        <v>1500</v>
      </c>
      <c r="BW18" s="105">
        <v>365</v>
      </c>
      <c r="BX18" s="106">
        <v>135</v>
      </c>
      <c r="BY18" s="107">
        <v>899.95</v>
      </c>
      <c r="BZ18" s="107">
        <v>2381.85</v>
      </c>
      <c r="CA18" s="107">
        <v>2717.95</v>
      </c>
      <c r="CB18" s="107">
        <v>2399.5</v>
      </c>
      <c r="CC18" s="107">
        <v>121</v>
      </c>
      <c r="CD18" s="107">
        <v>1275.95</v>
      </c>
      <c r="CE18" s="107">
        <v>1300</v>
      </c>
      <c r="CF18" s="107">
        <v>1499.9</v>
      </c>
      <c r="CG18" s="107">
        <v>750</v>
      </c>
      <c r="CH18" s="107">
        <f>SUM(BV18:CG18)</f>
        <v>15346.1</v>
      </c>
      <c r="CI18" s="107">
        <v>69.5</v>
      </c>
      <c r="CJ18" s="107">
        <v>1000</v>
      </c>
      <c r="CK18" s="107">
        <v>900</v>
      </c>
      <c r="CL18" s="107">
        <v>1300</v>
      </c>
      <c r="CM18" s="107">
        <v>1650</v>
      </c>
      <c r="CN18" s="107">
        <v>2200</v>
      </c>
      <c r="CO18" s="107">
        <v>1490.047</v>
      </c>
      <c r="CP18" s="107">
        <v>4147</v>
      </c>
      <c r="CQ18" s="107">
        <v>2813</v>
      </c>
      <c r="CR18" s="107">
        <v>4548.95</v>
      </c>
      <c r="CS18" s="107">
        <v>5392.5</v>
      </c>
      <c r="CT18" s="107">
        <v>1013.05</v>
      </c>
      <c r="CU18" s="107">
        <f>SUM(CI18:CT18)</f>
        <v>26524.047</v>
      </c>
      <c r="CV18" s="108">
        <v>1149.5</v>
      </c>
      <c r="CW18" s="117">
        <v>2365.5</v>
      </c>
      <c r="CX18" s="56">
        <v>1900</v>
      </c>
      <c r="CY18" s="113" t="s">
        <v>29</v>
      </c>
      <c r="CZ18" s="113" t="s">
        <v>29</v>
      </c>
      <c r="DA18" s="123">
        <v>600</v>
      </c>
      <c r="DB18" s="123">
        <v>505</v>
      </c>
      <c r="DC18" s="123">
        <v>265</v>
      </c>
      <c r="DD18" s="123">
        <v>2897</v>
      </c>
      <c r="DE18" s="123">
        <v>1500</v>
      </c>
      <c r="DF18" s="123">
        <v>1500</v>
      </c>
      <c r="DG18" s="123">
        <v>2490</v>
      </c>
      <c r="DH18" s="108">
        <f>SUM(CV18:DG18)</f>
        <v>15172</v>
      </c>
      <c r="DI18" s="113" t="s">
        <v>29</v>
      </c>
      <c r="DJ18" s="220">
        <v>0</v>
      </c>
      <c r="DK18" s="113">
        <v>206.4</v>
      </c>
      <c r="DL18" s="113" t="s">
        <v>29</v>
      </c>
      <c r="DM18" s="117">
        <v>1000</v>
      </c>
      <c r="DN18" s="113" t="s">
        <v>29</v>
      </c>
      <c r="DO18" s="117">
        <v>828.55</v>
      </c>
      <c r="DP18" s="113" t="s">
        <v>29</v>
      </c>
      <c r="DQ18" s="117">
        <v>882.2</v>
      </c>
      <c r="DR18" s="117">
        <v>1000</v>
      </c>
      <c r="DS18" s="117">
        <v>9.9</v>
      </c>
      <c r="DT18" s="117">
        <v>250</v>
      </c>
      <c r="DU18" s="108">
        <f t="shared" si="13"/>
        <v>4177.05</v>
      </c>
      <c r="DV18" s="108">
        <v>200</v>
      </c>
      <c r="DW18" s="220">
        <v>0</v>
      </c>
      <c r="DX18" s="108">
        <v>1300</v>
      </c>
      <c r="DY18" s="220">
        <v>0</v>
      </c>
      <c r="DZ18" s="108">
        <v>800</v>
      </c>
      <c r="EA18" s="108">
        <v>1300</v>
      </c>
      <c r="EB18" s="108">
        <v>1500</v>
      </c>
      <c r="EC18" s="108">
        <v>1000</v>
      </c>
      <c r="ED18" s="108">
        <v>1250</v>
      </c>
      <c r="EE18" s="108">
        <v>1603</v>
      </c>
      <c r="EF18" s="108">
        <v>997</v>
      </c>
      <c r="EG18" s="108">
        <v>2230</v>
      </c>
      <c r="EH18" s="108">
        <f>SUM(DV18:EG18)</f>
        <v>12180</v>
      </c>
      <c r="EI18" s="108">
        <v>3578.9</v>
      </c>
      <c r="EJ18" s="108">
        <v>700</v>
      </c>
      <c r="EK18" s="108">
        <v>600</v>
      </c>
      <c r="EL18" s="108">
        <v>1300</v>
      </c>
      <c r="EM18" s="108">
        <v>1000</v>
      </c>
      <c r="EN18" s="108">
        <v>1000</v>
      </c>
      <c r="EO18" s="108">
        <v>1000</v>
      </c>
      <c r="EP18" s="220">
        <v>0</v>
      </c>
      <c r="EQ18" s="220">
        <v>0</v>
      </c>
      <c r="ER18" s="220">
        <v>0</v>
      </c>
      <c r="ES18" s="248">
        <v>1789.95</v>
      </c>
      <c r="ET18" s="108">
        <v>733</v>
      </c>
      <c r="EU18" s="108">
        <f>SUM(EI18:ET18)</f>
        <v>11701.85</v>
      </c>
      <c r="EV18" s="108">
        <v>2000</v>
      </c>
      <c r="EW18" s="108">
        <v>267</v>
      </c>
      <c r="EX18" s="108">
        <v>735</v>
      </c>
      <c r="EY18" s="108">
        <v>1015</v>
      </c>
      <c r="EZ18" s="305">
        <v>500</v>
      </c>
      <c r="FA18" s="108">
        <v>1500</v>
      </c>
      <c r="FB18" s="108">
        <v>2000</v>
      </c>
      <c r="FC18" s="108">
        <v>1500</v>
      </c>
      <c r="FD18" s="108">
        <v>1000</v>
      </c>
      <c r="FE18" s="248">
        <v>0</v>
      </c>
      <c r="FF18" s="108">
        <v>1500</v>
      </c>
      <c r="FG18" s="108">
        <v>500</v>
      </c>
      <c r="FH18" s="108">
        <f t="shared" si="14"/>
        <v>8017</v>
      </c>
      <c r="FI18" s="108">
        <v>1500</v>
      </c>
      <c r="FJ18" s="108">
        <v>500</v>
      </c>
      <c r="FK18" s="108">
        <v>1950</v>
      </c>
      <c r="FL18" s="108">
        <v>3850</v>
      </c>
      <c r="FM18" s="108">
        <v>5199.95</v>
      </c>
      <c r="FN18" s="220">
        <v>0</v>
      </c>
      <c r="FO18" s="248">
        <v>1000</v>
      </c>
      <c r="FP18" s="108">
        <f>SUM(FI18:FO18)</f>
        <v>13999.95</v>
      </c>
      <c r="FQ18" s="13"/>
      <c r="FR18" s="13"/>
      <c r="FS18" s="14"/>
      <c r="FT18" s="13"/>
      <c r="FU18" s="13"/>
      <c r="FV18" s="13"/>
      <c r="FW18" s="14"/>
      <c r="FX18" s="14"/>
    </row>
    <row r="19" spans="1:180" ht="15.75">
      <c r="A19" s="103" t="s">
        <v>34</v>
      </c>
      <c r="B19" s="41"/>
      <c r="C19" s="41"/>
      <c r="D19" s="41"/>
      <c r="E19" s="90">
        <v>19027</v>
      </c>
      <c r="F19" s="90">
        <v>7434</v>
      </c>
      <c r="G19" s="90">
        <v>9447</v>
      </c>
      <c r="H19" s="90">
        <v>7287</v>
      </c>
      <c r="I19" s="90">
        <v>17062</v>
      </c>
      <c r="J19" s="90">
        <v>9505</v>
      </c>
      <c r="K19" s="90">
        <v>10680</v>
      </c>
      <c r="L19" s="90">
        <v>2181</v>
      </c>
      <c r="M19" s="90">
        <v>3289</v>
      </c>
      <c r="N19" s="104">
        <v>5681</v>
      </c>
      <c r="O19" s="105">
        <v>3389</v>
      </c>
      <c r="P19" s="104">
        <v>11171</v>
      </c>
      <c r="Q19" s="105">
        <v>19703</v>
      </c>
      <c r="R19" s="105">
        <v>12422.05</v>
      </c>
      <c r="S19" s="104">
        <v>445</v>
      </c>
      <c r="T19" s="104">
        <v>1275</v>
      </c>
      <c r="U19" s="77">
        <v>1235</v>
      </c>
      <c r="V19" s="77">
        <v>444</v>
      </c>
      <c r="W19" s="105">
        <v>2164</v>
      </c>
      <c r="X19" s="105">
        <v>1130</v>
      </c>
      <c r="Y19" s="106">
        <f>1441+55</f>
        <v>1496</v>
      </c>
      <c r="Z19" s="105">
        <v>1604</v>
      </c>
      <c r="AA19" s="105">
        <v>926</v>
      </c>
      <c r="AB19" s="105">
        <v>192</v>
      </c>
      <c r="AC19" s="106">
        <f>696+10</f>
        <v>706</v>
      </c>
      <c r="AD19" s="105">
        <v>805.05</v>
      </c>
      <c r="AE19" s="117">
        <f>SUM(S19:AD19)</f>
        <v>12422.05</v>
      </c>
      <c r="AF19" s="113">
        <v>13977.8</v>
      </c>
      <c r="AG19" s="113">
        <v>15403</v>
      </c>
      <c r="AH19" s="117">
        <v>16097</v>
      </c>
      <c r="AI19" s="117">
        <v>14415</v>
      </c>
      <c r="AJ19" s="117">
        <v>9440</v>
      </c>
      <c r="AK19" s="117">
        <v>8785</v>
      </c>
      <c r="AL19" s="77">
        <v>6139.25</v>
      </c>
      <c r="AM19" s="77">
        <v>1335.55</v>
      </c>
      <c r="AN19" s="113">
        <v>75</v>
      </c>
      <c r="AO19" s="77">
        <v>140</v>
      </c>
      <c r="AP19" s="116" t="s">
        <v>29</v>
      </c>
      <c r="AQ19" s="77">
        <v>75</v>
      </c>
      <c r="AR19" s="113">
        <v>70</v>
      </c>
      <c r="AS19" s="77">
        <v>20.6</v>
      </c>
      <c r="AT19" s="77">
        <v>71.1</v>
      </c>
      <c r="AU19" s="77">
        <v>84.5</v>
      </c>
      <c r="AV19" s="77">
        <v>145</v>
      </c>
      <c r="AW19" s="77">
        <v>289.35</v>
      </c>
      <c r="AX19" s="113">
        <v>365</v>
      </c>
      <c r="AY19" s="113" t="s">
        <v>29</v>
      </c>
      <c r="AZ19" s="77">
        <f>SUM(AN19:AY19)</f>
        <v>1335.5500000000002</v>
      </c>
      <c r="BA19" s="77">
        <v>1763.05</v>
      </c>
      <c r="BB19" s="77">
        <v>6074.9</v>
      </c>
      <c r="BC19" s="77">
        <v>12921.315999999999</v>
      </c>
      <c r="BD19" s="77">
        <v>9892.99</v>
      </c>
      <c r="BE19" s="77">
        <v>5586.49</v>
      </c>
      <c r="BF19" s="77">
        <v>4739.37</v>
      </c>
      <c r="BG19" s="107">
        <v>4673.479</v>
      </c>
      <c r="BH19" s="107">
        <v>2853.3399999999997</v>
      </c>
      <c r="BI19" s="113">
        <v>220</v>
      </c>
      <c r="BJ19" s="107">
        <v>70</v>
      </c>
      <c r="BK19" s="113">
        <v>70</v>
      </c>
      <c r="BL19" s="113" t="s">
        <v>29</v>
      </c>
      <c r="BM19" s="113">
        <v>140.55</v>
      </c>
      <c r="BN19" s="77">
        <v>70</v>
      </c>
      <c r="BO19" s="77">
        <v>209.55</v>
      </c>
      <c r="BP19" s="77">
        <v>140</v>
      </c>
      <c r="BQ19" s="113" t="s">
        <v>29</v>
      </c>
      <c r="BR19" s="77">
        <v>535</v>
      </c>
      <c r="BS19" s="113">
        <v>140</v>
      </c>
      <c r="BT19" s="113">
        <v>167.95</v>
      </c>
      <c r="BU19" s="107">
        <f t="shared" si="15"/>
        <v>1763.05</v>
      </c>
      <c r="BV19" s="113" t="s">
        <v>29</v>
      </c>
      <c r="BW19" s="113">
        <v>307.95</v>
      </c>
      <c r="BX19" s="117">
        <v>70</v>
      </c>
      <c r="BY19" s="107">
        <v>70</v>
      </c>
      <c r="BZ19" s="107"/>
      <c r="CA19" s="107">
        <v>459.5</v>
      </c>
      <c r="CB19" s="107">
        <v>630</v>
      </c>
      <c r="CC19" s="107">
        <v>1050</v>
      </c>
      <c r="CD19" s="107">
        <v>1210.8</v>
      </c>
      <c r="CE19" s="107">
        <v>381.55</v>
      </c>
      <c r="CF19" s="107">
        <v>842.65</v>
      </c>
      <c r="CG19" s="107">
        <v>1052.45</v>
      </c>
      <c r="CH19" s="107">
        <f>SUM(BV19:CG19)</f>
        <v>6074.9</v>
      </c>
      <c r="CI19" s="107">
        <v>910</v>
      </c>
      <c r="CJ19" s="107">
        <v>962.51</v>
      </c>
      <c r="CK19" s="107">
        <v>1804.06</v>
      </c>
      <c r="CL19" s="107">
        <v>1284.47</v>
      </c>
      <c r="CM19" s="107">
        <v>774.085</v>
      </c>
      <c r="CN19" s="107">
        <v>631.58</v>
      </c>
      <c r="CO19" s="107">
        <v>1652.31</v>
      </c>
      <c r="CP19" s="107">
        <v>980.885</v>
      </c>
      <c r="CQ19" s="107">
        <v>700.55</v>
      </c>
      <c r="CR19" s="107">
        <v>1210</v>
      </c>
      <c r="CS19" s="107">
        <v>1130.416</v>
      </c>
      <c r="CT19" s="107">
        <v>880.45</v>
      </c>
      <c r="CU19" s="107">
        <f>SUM(CI19:CT19)</f>
        <v>12921.315999999999</v>
      </c>
      <c r="CV19" s="108">
        <v>280</v>
      </c>
      <c r="CW19" s="117">
        <v>656.52</v>
      </c>
      <c r="CX19" s="117">
        <v>1071.8</v>
      </c>
      <c r="CY19" s="117">
        <v>714.95</v>
      </c>
      <c r="CZ19" s="117">
        <v>1400</v>
      </c>
      <c r="DA19" s="123">
        <v>1190</v>
      </c>
      <c r="DB19" s="123">
        <v>701.5</v>
      </c>
      <c r="DC19" s="123">
        <v>704.07</v>
      </c>
      <c r="DD19" s="123">
        <v>91.1</v>
      </c>
      <c r="DE19" s="123">
        <v>1189.75</v>
      </c>
      <c r="DF19" s="123">
        <v>1122.3</v>
      </c>
      <c r="DG19" s="123">
        <v>771</v>
      </c>
      <c r="DH19" s="108">
        <f>SUM(CV19:DG19)</f>
        <v>9892.99</v>
      </c>
      <c r="DI19" s="108">
        <v>707</v>
      </c>
      <c r="DJ19" s="108"/>
      <c r="DK19" s="108">
        <v>490</v>
      </c>
      <c r="DL19" s="108">
        <v>420</v>
      </c>
      <c r="DM19" s="108">
        <v>560</v>
      </c>
      <c r="DN19" s="113" t="s">
        <v>29</v>
      </c>
      <c r="DO19" s="206">
        <v>1189.84</v>
      </c>
      <c r="DP19" s="206">
        <v>560</v>
      </c>
      <c r="DQ19" s="206">
        <v>283.7</v>
      </c>
      <c r="DR19" s="206">
        <v>646.5</v>
      </c>
      <c r="DS19" s="206">
        <f>70+99.45</f>
        <v>169.45</v>
      </c>
      <c r="DT19" s="206">
        <v>560</v>
      </c>
      <c r="DU19" s="108">
        <f t="shared" si="13"/>
        <v>5586.49</v>
      </c>
      <c r="DV19" s="108">
        <v>681.1</v>
      </c>
      <c r="DW19" s="108">
        <v>223.45</v>
      </c>
      <c r="DX19" s="108">
        <v>300.3</v>
      </c>
      <c r="DY19" s="108">
        <v>146.35</v>
      </c>
      <c r="DZ19" s="108">
        <v>81.1</v>
      </c>
      <c r="EA19" s="108">
        <v>213.4</v>
      </c>
      <c r="EB19" s="108">
        <v>422.9</v>
      </c>
      <c r="EC19" s="108">
        <v>388.55</v>
      </c>
      <c r="ED19" s="108">
        <v>469.07</v>
      </c>
      <c r="EE19" s="108">
        <v>308.45</v>
      </c>
      <c r="EF19" s="108">
        <v>817.35</v>
      </c>
      <c r="EG19" s="108">
        <v>687.35</v>
      </c>
      <c r="EH19" s="108">
        <f>SUM(DV19:EG19)</f>
        <v>4739.37</v>
      </c>
      <c r="EI19" s="108">
        <v>510.96</v>
      </c>
      <c r="EJ19" s="108">
        <v>634.975</v>
      </c>
      <c r="EK19" s="108">
        <v>438.9</v>
      </c>
      <c r="EL19" s="108">
        <v>287.3</v>
      </c>
      <c r="EM19" s="220">
        <v>0</v>
      </c>
      <c r="EN19" s="108">
        <v>71.97</v>
      </c>
      <c r="EO19" s="108">
        <v>211.7</v>
      </c>
      <c r="EP19" s="108">
        <v>145.424</v>
      </c>
      <c r="EQ19" s="108">
        <v>431.5</v>
      </c>
      <c r="ER19" s="108">
        <v>287.35</v>
      </c>
      <c r="ES19" s="108">
        <v>1082.8</v>
      </c>
      <c r="ET19" s="108">
        <v>570.6</v>
      </c>
      <c r="EU19" s="108">
        <f>SUM(EI19:ET19)</f>
        <v>4673.479</v>
      </c>
      <c r="EV19" s="108">
        <v>286.25</v>
      </c>
      <c r="EW19" s="108">
        <v>342</v>
      </c>
      <c r="EX19" s="108">
        <v>73.1</v>
      </c>
      <c r="EY19" s="108">
        <v>294.02</v>
      </c>
      <c r="EZ19" s="305">
        <v>431.48</v>
      </c>
      <c r="FA19" s="108">
        <v>650.05</v>
      </c>
      <c r="FB19" s="108">
        <v>70</v>
      </c>
      <c r="FC19" s="305">
        <v>0</v>
      </c>
      <c r="FD19" s="108">
        <v>283.98</v>
      </c>
      <c r="FE19" s="108">
        <v>70</v>
      </c>
      <c r="FF19" s="108">
        <v>142.46</v>
      </c>
      <c r="FG19" s="108">
        <v>210</v>
      </c>
      <c r="FH19" s="108">
        <f t="shared" si="14"/>
        <v>2146.8999999999996</v>
      </c>
      <c r="FI19" s="220">
        <v>0</v>
      </c>
      <c r="FJ19" s="108">
        <v>350.92</v>
      </c>
      <c r="FK19" s="108">
        <v>2</v>
      </c>
      <c r="FL19" s="220">
        <v>0</v>
      </c>
      <c r="FM19" s="220">
        <v>0</v>
      </c>
      <c r="FN19" s="220">
        <v>0</v>
      </c>
      <c r="FO19" s="248">
        <v>70</v>
      </c>
      <c r="FP19" s="108">
        <f>SUM(FI19:FO19)</f>
        <v>422.92</v>
      </c>
      <c r="FQ19" s="13"/>
      <c r="FR19" s="13"/>
      <c r="FS19" s="13"/>
      <c r="FT19" s="13"/>
      <c r="FU19" s="13"/>
      <c r="FV19" s="13"/>
      <c r="FW19" s="14"/>
      <c r="FX19" s="14"/>
    </row>
    <row r="20" spans="1:180" ht="15.75">
      <c r="A20" s="103" t="s">
        <v>35</v>
      </c>
      <c r="B20" s="41"/>
      <c r="C20" s="41"/>
      <c r="D20" s="41"/>
      <c r="E20" s="90">
        <v>791</v>
      </c>
      <c r="F20" s="90">
        <v>1765</v>
      </c>
      <c r="G20" s="90">
        <v>1785</v>
      </c>
      <c r="H20" s="90">
        <v>1868</v>
      </c>
      <c r="I20" s="90">
        <v>2469</v>
      </c>
      <c r="J20" s="90">
        <v>2605</v>
      </c>
      <c r="K20" s="90">
        <v>2733</v>
      </c>
      <c r="L20" s="90">
        <v>54756</v>
      </c>
      <c r="M20" s="90">
        <v>28875</v>
      </c>
      <c r="N20" s="104">
        <v>5908</v>
      </c>
      <c r="O20" s="105">
        <v>4289</v>
      </c>
      <c r="P20" s="104">
        <v>12035</v>
      </c>
      <c r="Q20" s="105">
        <v>10178</v>
      </c>
      <c r="R20" s="105">
        <v>26074.553</v>
      </c>
      <c r="S20" s="104">
        <v>959</v>
      </c>
      <c r="T20" s="104">
        <v>2325</v>
      </c>
      <c r="U20" s="77">
        <v>1966</v>
      </c>
      <c r="V20" s="77">
        <v>4899</v>
      </c>
      <c r="W20" s="105">
        <v>1163</v>
      </c>
      <c r="X20" s="105">
        <f>1351+35</f>
        <v>1386</v>
      </c>
      <c r="Y20" s="106">
        <f>1535+6</f>
        <v>1541</v>
      </c>
      <c r="Z20" s="105">
        <f>2258+38</f>
        <v>2296</v>
      </c>
      <c r="AA20" s="105">
        <v>1633</v>
      </c>
      <c r="AB20" s="105">
        <v>1870</v>
      </c>
      <c r="AC20" s="106">
        <f>1765+25</f>
        <v>1790</v>
      </c>
      <c r="AD20" s="105">
        <f>4208.353+38.2</f>
        <v>4246.553</v>
      </c>
      <c r="AE20" s="117">
        <f>SUM(S20:AD20)</f>
        <v>26074.553</v>
      </c>
      <c r="AF20" s="113">
        <v>17364.023</v>
      </c>
      <c r="AG20" s="113">
        <v>17922</v>
      </c>
      <c r="AH20" s="117">
        <v>13865</v>
      </c>
      <c r="AI20" s="117">
        <v>11579</v>
      </c>
      <c r="AJ20" s="117">
        <v>22205</v>
      </c>
      <c r="AK20" s="117">
        <v>13873</v>
      </c>
      <c r="AL20" s="77">
        <v>11405.069000000001</v>
      </c>
      <c r="AM20" s="77">
        <v>7699.598</v>
      </c>
      <c r="AN20" s="113">
        <v>982.9</v>
      </c>
      <c r="AO20" s="113">
        <v>308.254</v>
      </c>
      <c r="AP20" s="113">
        <v>897.373</v>
      </c>
      <c r="AQ20" s="77">
        <v>51.2</v>
      </c>
      <c r="AR20" s="113">
        <v>475.016</v>
      </c>
      <c r="AS20" s="77">
        <v>720.425</v>
      </c>
      <c r="AT20" s="113">
        <v>1032.84</v>
      </c>
      <c r="AU20" s="77" t="s">
        <v>29</v>
      </c>
      <c r="AV20" s="113">
        <v>181.001</v>
      </c>
      <c r="AW20" s="77">
        <v>910.558</v>
      </c>
      <c r="AX20" s="77">
        <v>1399</v>
      </c>
      <c r="AY20" s="113">
        <v>741.031</v>
      </c>
      <c r="AZ20" s="77">
        <f>SUM(AN20:AY20)</f>
        <v>7699.598</v>
      </c>
      <c r="BA20" s="77">
        <v>10185.97</v>
      </c>
      <c r="BB20" s="113" t="s">
        <v>29</v>
      </c>
      <c r="BC20" s="77">
        <v>13972.767</v>
      </c>
      <c r="BD20" s="77">
        <v>45468.901000000005</v>
      </c>
      <c r="BE20" s="77">
        <v>4132.597</v>
      </c>
      <c r="BF20" s="77">
        <v>1743.169</v>
      </c>
      <c r="BG20" s="107">
        <v>721.1280000000002</v>
      </c>
      <c r="BH20" s="107">
        <v>306.648</v>
      </c>
      <c r="BI20" s="113">
        <v>927.183</v>
      </c>
      <c r="BJ20" s="117">
        <v>1309.733</v>
      </c>
      <c r="BK20" s="113">
        <v>441.257</v>
      </c>
      <c r="BL20" s="77">
        <v>379.85</v>
      </c>
      <c r="BM20" s="113">
        <v>2661.748</v>
      </c>
      <c r="BN20" s="77">
        <v>420.9</v>
      </c>
      <c r="BO20" s="113">
        <v>883.747</v>
      </c>
      <c r="BP20" s="113">
        <v>393.05</v>
      </c>
      <c r="BQ20" s="113">
        <v>316.185</v>
      </c>
      <c r="BR20" s="77">
        <v>800.741</v>
      </c>
      <c r="BS20" s="77">
        <v>858.614</v>
      </c>
      <c r="BT20" s="113">
        <v>792.962</v>
      </c>
      <c r="BU20" s="107">
        <f t="shared" si="15"/>
        <v>10185.97</v>
      </c>
      <c r="BV20" s="113" t="s">
        <v>29</v>
      </c>
      <c r="BW20" s="113" t="s">
        <v>29</v>
      </c>
      <c r="BX20" s="113" t="s">
        <v>29</v>
      </c>
      <c r="BY20" s="113" t="s">
        <v>29</v>
      </c>
      <c r="BZ20" s="113" t="s">
        <v>29</v>
      </c>
      <c r="CA20" s="113" t="s">
        <v>29</v>
      </c>
      <c r="CB20" s="113" t="s">
        <v>29</v>
      </c>
      <c r="CC20" s="113" t="s">
        <v>29</v>
      </c>
      <c r="CD20" s="113" t="s">
        <v>29</v>
      </c>
      <c r="CE20" s="113" t="s">
        <v>29</v>
      </c>
      <c r="CF20" s="113" t="s">
        <v>29</v>
      </c>
      <c r="CG20" s="113" t="s">
        <v>29</v>
      </c>
      <c r="CH20" s="107">
        <f>SUM(BV20:CG20)</f>
        <v>0</v>
      </c>
      <c r="CI20" s="117">
        <v>1815.238</v>
      </c>
      <c r="CJ20" s="117">
        <v>1847.951</v>
      </c>
      <c r="CK20" s="117">
        <v>682.053</v>
      </c>
      <c r="CL20" s="107">
        <v>553.476</v>
      </c>
      <c r="CM20" s="107">
        <v>779.698</v>
      </c>
      <c r="CN20" s="107">
        <v>384.275</v>
      </c>
      <c r="CO20" s="107">
        <v>359.062</v>
      </c>
      <c r="CP20" s="107">
        <v>2153.951</v>
      </c>
      <c r="CQ20" s="107">
        <v>1066.268</v>
      </c>
      <c r="CR20" s="107">
        <v>899.495</v>
      </c>
      <c r="CS20" s="107">
        <v>2336.034</v>
      </c>
      <c r="CT20" s="107">
        <v>1095.266</v>
      </c>
      <c r="CU20" s="107">
        <f>SUM(CI20:CT20)</f>
        <v>13972.767</v>
      </c>
      <c r="CV20" s="108">
        <v>3658.797</v>
      </c>
      <c r="CW20" s="117">
        <v>4749</v>
      </c>
      <c r="CX20" s="117">
        <v>5592.449</v>
      </c>
      <c r="CY20" s="117">
        <v>3160.143</v>
      </c>
      <c r="CZ20" s="117">
        <v>4096.56</v>
      </c>
      <c r="DA20" s="123">
        <v>5338.965</v>
      </c>
      <c r="DB20" s="123">
        <v>5185.368</v>
      </c>
      <c r="DC20" s="123">
        <v>3685.989</v>
      </c>
      <c r="DD20" s="123">
        <v>1291.413</v>
      </c>
      <c r="DE20" s="123">
        <f>1568.289+23.7</f>
        <v>1591.989</v>
      </c>
      <c r="DF20" s="123">
        <v>4880.43</v>
      </c>
      <c r="DG20" s="123">
        <v>1239.487</v>
      </c>
      <c r="DH20" s="108">
        <f>SUM(CV20:DG20)</f>
        <v>44470.590000000004</v>
      </c>
      <c r="DI20" s="108">
        <v>336.74699999999996</v>
      </c>
      <c r="DJ20" s="108">
        <v>261.955</v>
      </c>
      <c r="DK20" s="108">
        <v>660.923</v>
      </c>
      <c r="DL20" s="108">
        <v>191.059</v>
      </c>
      <c r="DM20" s="108">
        <v>797.786</v>
      </c>
      <c r="DN20" s="108">
        <v>96.554</v>
      </c>
      <c r="DO20" s="108">
        <v>112.304</v>
      </c>
      <c r="DP20" s="108">
        <v>137.46</v>
      </c>
      <c r="DQ20" s="108">
        <f>804.784</f>
        <v>804.784</v>
      </c>
      <c r="DR20" s="108">
        <v>129.846</v>
      </c>
      <c r="DS20" s="108">
        <f>1.872+87.557</f>
        <v>89.429</v>
      </c>
      <c r="DT20" s="108">
        <v>513.75</v>
      </c>
      <c r="DU20" s="108">
        <f t="shared" si="13"/>
        <v>4132.597</v>
      </c>
      <c r="DV20" s="108">
        <v>662.5070000000001</v>
      </c>
      <c r="DW20" s="108">
        <v>32.112</v>
      </c>
      <c r="DX20" s="108">
        <v>161.54600000000002</v>
      </c>
      <c r="DY20" s="108">
        <v>215.895</v>
      </c>
      <c r="DZ20" s="108">
        <v>93.28800000000001</v>
      </c>
      <c r="EA20" s="108">
        <v>62.88</v>
      </c>
      <c r="EB20" s="108">
        <v>86.504</v>
      </c>
      <c r="EC20" s="108">
        <v>130.666</v>
      </c>
      <c r="ED20" s="108">
        <v>85.136</v>
      </c>
      <c r="EE20" s="108">
        <v>57.362</v>
      </c>
      <c r="EF20" s="108">
        <v>40.646</v>
      </c>
      <c r="EG20" s="108">
        <v>114.627</v>
      </c>
      <c r="EH20" s="108">
        <f>SUM(DV20:EG20)</f>
        <v>1743.169</v>
      </c>
      <c r="EI20" s="108">
        <v>85.222</v>
      </c>
      <c r="EJ20" s="108">
        <v>32.895</v>
      </c>
      <c r="EK20" s="108">
        <v>28.47</v>
      </c>
      <c r="EL20" s="108">
        <v>206.07999999999998</v>
      </c>
      <c r="EM20" s="108">
        <v>184.391</v>
      </c>
      <c r="EN20" s="108">
        <v>59.306</v>
      </c>
      <c r="EO20" s="108">
        <v>15.272</v>
      </c>
      <c r="EP20" s="108">
        <v>16.560000000000002</v>
      </c>
      <c r="EQ20" s="108">
        <v>6.553</v>
      </c>
      <c r="ER20" s="108">
        <v>36.836</v>
      </c>
      <c r="ES20" s="108">
        <v>33.932</v>
      </c>
      <c r="ET20" s="108">
        <v>15.611</v>
      </c>
      <c r="EU20" s="108">
        <f>SUM(EI20:ET20)</f>
        <v>721.1280000000002</v>
      </c>
      <c r="EV20" s="108">
        <v>8.267</v>
      </c>
      <c r="EW20" s="220">
        <v>0</v>
      </c>
      <c r="EX20" s="108">
        <v>58.744</v>
      </c>
      <c r="EY20" s="108">
        <v>98.037</v>
      </c>
      <c r="EZ20" s="305">
        <v>7.775</v>
      </c>
      <c r="FA20" s="108">
        <v>4.138</v>
      </c>
      <c r="FB20" s="108">
        <v>19.55</v>
      </c>
      <c r="FC20" s="108">
        <v>6.711</v>
      </c>
      <c r="FD20" s="108">
        <v>12.767</v>
      </c>
      <c r="FE20" s="108">
        <v>22.986</v>
      </c>
      <c r="FF20" s="108">
        <v>38.474</v>
      </c>
      <c r="FG20" s="108">
        <v>29.199</v>
      </c>
      <c r="FH20" s="108">
        <f t="shared" si="14"/>
        <v>196.51100000000002</v>
      </c>
      <c r="FI20" s="108">
        <v>47.071</v>
      </c>
      <c r="FJ20" s="108">
        <v>23.494</v>
      </c>
      <c r="FK20" s="108">
        <v>38.045</v>
      </c>
      <c r="FL20" s="220">
        <v>0</v>
      </c>
      <c r="FM20" s="248">
        <v>37.923</v>
      </c>
      <c r="FN20" s="248">
        <v>89.07400000000001</v>
      </c>
      <c r="FO20" s="248">
        <v>51.373999999999995</v>
      </c>
      <c r="FP20" s="108">
        <f>SUM(FI20:FO20)</f>
        <v>286.981</v>
      </c>
      <c r="FQ20" s="13"/>
      <c r="FR20" s="13"/>
      <c r="FS20" s="13"/>
      <c r="FT20" s="13"/>
      <c r="FU20" s="13"/>
      <c r="FV20" s="13"/>
      <c r="FW20" s="14"/>
      <c r="FX20" s="14"/>
    </row>
    <row r="21" spans="1:180" ht="15.75">
      <c r="A21" s="63"/>
      <c r="B21" s="41"/>
      <c r="C21" s="41"/>
      <c r="D21" s="41"/>
      <c r="E21" s="90"/>
      <c r="F21" s="90"/>
      <c r="G21" s="90"/>
      <c r="H21" s="90"/>
      <c r="I21" s="90"/>
      <c r="J21" s="90"/>
      <c r="K21" s="90"/>
      <c r="L21" s="90"/>
      <c r="M21" s="41"/>
      <c r="N21" s="109" t="s">
        <v>27</v>
      </c>
      <c r="O21" s="110" t="s">
        <v>27</v>
      </c>
      <c r="P21" s="104"/>
      <c r="Q21" s="105"/>
      <c r="R21" s="105"/>
      <c r="S21" s="104"/>
      <c r="T21" s="104"/>
      <c r="U21" s="77"/>
      <c r="V21" s="77"/>
      <c r="W21" s="105"/>
      <c r="X21" s="105"/>
      <c r="Y21" s="106"/>
      <c r="Z21" s="105"/>
      <c r="AA21" s="105"/>
      <c r="AB21" s="105"/>
      <c r="AC21" s="106"/>
      <c r="AD21" s="105"/>
      <c r="AE21" s="106"/>
      <c r="AF21" s="105"/>
      <c r="AG21" s="105"/>
      <c r="AH21" s="106"/>
      <c r="AI21" s="106"/>
      <c r="AJ21" s="106"/>
      <c r="AK21" s="106"/>
      <c r="AL21" s="106"/>
      <c r="AM21" s="106"/>
      <c r="AN21" s="107"/>
      <c r="AO21" s="107"/>
      <c r="AP21" s="77"/>
      <c r="AQ21" s="77"/>
      <c r="AR21" s="77"/>
      <c r="AS21" s="77"/>
      <c r="AT21" s="77"/>
      <c r="AU21" s="107"/>
      <c r="AV21" s="77"/>
      <c r="AW21" s="77"/>
      <c r="AX21" s="107"/>
      <c r="AY21" s="105"/>
      <c r="AZ21" s="117"/>
      <c r="BA21" s="117"/>
      <c r="BB21" s="117"/>
      <c r="BC21" s="117"/>
      <c r="BD21" s="117"/>
      <c r="BE21" s="117"/>
      <c r="BF21" s="117"/>
      <c r="BG21" s="107"/>
      <c r="BH21" s="107"/>
      <c r="BI21" s="77"/>
      <c r="BJ21" s="107"/>
      <c r="BK21" s="77"/>
      <c r="BL21" s="77"/>
      <c r="BM21" s="77"/>
      <c r="BN21" s="77"/>
      <c r="BO21" s="77"/>
      <c r="BP21" s="77"/>
      <c r="BQ21" s="77"/>
      <c r="BR21" s="77"/>
      <c r="BS21" s="77"/>
      <c r="BT21" s="105"/>
      <c r="BU21" s="107"/>
      <c r="BV21" s="113"/>
      <c r="BW21" s="113"/>
      <c r="BX21" s="113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8"/>
      <c r="CW21" s="107"/>
      <c r="CX21" s="107"/>
      <c r="CY21" s="107"/>
      <c r="CZ21" s="107"/>
      <c r="DA21" s="112"/>
      <c r="DB21" s="112"/>
      <c r="DC21" s="112"/>
      <c r="DD21" s="112"/>
      <c r="DE21" s="112"/>
      <c r="DF21" s="112"/>
      <c r="DG21" s="112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248"/>
      <c r="FA21" s="248"/>
      <c r="FB21" s="248"/>
      <c r="FC21" s="248"/>
      <c r="FD21" s="248"/>
      <c r="FE21" s="248"/>
      <c r="FF21" s="248"/>
      <c r="FG21" s="248"/>
      <c r="FH21" s="108"/>
      <c r="FI21" s="108"/>
      <c r="FJ21" s="108"/>
      <c r="FK21" s="108"/>
      <c r="FL21" s="108"/>
      <c r="FM21" s="108"/>
      <c r="FN21" s="108"/>
      <c r="FO21" s="108"/>
      <c r="FP21" s="108"/>
      <c r="FQ21" s="13"/>
      <c r="FR21" s="13"/>
      <c r="FS21" s="13"/>
      <c r="FT21" s="13"/>
      <c r="FU21" s="13"/>
      <c r="FV21" s="13"/>
      <c r="FW21" s="14"/>
      <c r="FX21" s="14"/>
    </row>
    <row r="22" spans="1:180" ht="15.75">
      <c r="A22" s="319" t="s">
        <v>36</v>
      </c>
      <c r="B22" s="41"/>
      <c r="C22" s="41"/>
      <c r="D22" s="41"/>
      <c r="E22" s="90">
        <f aca="true" t="shared" si="16" ref="E22:Q22">SUM(E24:E26)</f>
        <v>4781</v>
      </c>
      <c r="F22" s="90">
        <f t="shared" si="16"/>
        <v>4964</v>
      </c>
      <c r="G22" s="90">
        <f t="shared" si="16"/>
        <v>13628</v>
      </c>
      <c r="H22" s="90">
        <f t="shared" si="16"/>
        <v>5140</v>
      </c>
      <c r="I22" s="90">
        <f t="shared" si="16"/>
        <v>9049</v>
      </c>
      <c r="J22" s="90">
        <f t="shared" si="16"/>
        <v>12515</v>
      </c>
      <c r="K22" s="90">
        <f t="shared" si="16"/>
        <v>12114</v>
      </c>
      <c r="L22" s="90">
        <f t="shared" si="16"/>
        <v>9796</v>
      </c>
      <c r="M22" s="90">
        <f t="shared" si="16"/>
        <v>5132</v>
      </c>
      <c r="N22" s="104">
        <f t="shared" si="16"/>
        <v>2515</v>
      </c>
      <c r="O22" s="105">
        <f t="shared" si="16"/>
        <v>3438</v>
      </c>
      <c r="P22" s="104">
        <f t="shared" si="16"/>
        <v>6896</v>
      </c>
      <c r="Q22" s="105">
        <f t="shared" si="16"/>
        <v>10226</v>
      </c>
      <c r="R22" s="105">
        <v>6944.9580000000005</v>
      </c>
      <c r="S22" s="104">
        <f>SUM(S24:S27)</f>
        <v>910</v>
      </c>
      <c r="T22" s="104">
        <f>SUM(T24:T27)</f>
        <v>1275</v>
      </c>
      <c r="U22" s="105">
        <f>SUM(U24:U26)</f>
        <v>191</v>
      </c>
      <c r="V22" s="105">
        <f>SUM(V24:V26)</f>
        <v>393</v>
      </c>
      <c r="W22" s="115" t="s">
        <v>80</v>
      </c>
      <c r="X22" s="119" t="s">
        <v>29</v>
      </c>
      <c r="Y22" s="106">
        <f>SUM(Y24:Y26)</f>
        <v>65</v>
      </c>
      <c r="Z22" s="105">
        <f>SUM(Z24:Z27)</f>
        <v>245</v>
      </c>
      <c r="AA22" s="105">
        <f>SUM(AA24:AA27)</f>
        <v>405</v>
      </c>
      <c r="AB22" s="105">
        <f>SUM(AB25)</f>
        <v>1119</v>
      </c>
      <c r="AC22" s="105">
        <f>SUM(AC25)</f>
        <v>299</v>
      </c>
      <c r="AD22" s="105">
        <f>SUM(AD25)</f>
        <v>2042.958</v>
      </c>
      <c r="AE22" s="106">
        <f>SUM(AE25)</f>
        <v>6944.9580000000005</v>
      </c>
      <c r="AF22" s="105">
        <v>11862.8</v>
      </c>
      <c r="AG22" s="105">
        <v>2900</v>
      </c>
      <c r="AH22" s="106">
        <v>11234</v>
      </c>
      <c r="AI22" s="106">
        <v>8254</v>
      </c>
      <c r="AJ22" s="106">
        <v>6828</v>
      </c>
      <c r="AK22" s="106">
        <v>6895</v>
      </c>
      <c r="AL22" s="106">
        <v>2610.831</v>
      </c>
      <c r="AM22" s="106">
        <v>2414.7</v>
      </c>
      <c r="AN22" s="105">
        <f>SUM(AN24:AN27)</f>
        <v>444.35</v>
      </c>
      <c r="AO22" s="105">
        <f>SUM(AO24:AO27)</f>
        <v>900.55</v>
      </c>
      <c r="AP22" s="113" t="s">
        <v>29</v>
      </c>
      <c r="AQ22" s="113" t="s">
        <v>29</v>
      </c>
      <c r="AR22" s="105">
        <f>SUM(AR24:AR27)</f>
        <v>126.85</v>
      </c>
      <c r="AS22" s="106">
        <f>SUM(AS24:AS27)</f>
        <v>62.7</v>
      </c>
      <c r="AT22" s="113" t="s">
        <v>29</v>
      </c>
      <c r="AU22" s="113" t="s">
        <v>29</v>
      </c>
      <c r="AV22" s="113" t="s">
        <v>29</v>
      </c>
      <c r="AW22" s="106">
        <f aca="true" t="shared" si="17" ref="AW22:BT22">SUM(AW24:AW27)</f>
        <v>133.5</v>
      </c>
      <c r="AX22" s="106">
        <f t="shared" si="17"/>
        <v>88</v>
      </c>
      <c r="AY22" s="105">
        <f t="shared" si="17"/>
        <v>658.75</v>
      </c>
      <c r="AZ22" s="107">
        <f t="shared" si="17"/>
        <v>2414.7</v>
      </c>
      <c r="BA22" s="107">
        <f t="shared" si="17"/>
        <v>2236.935</v>
      </c>
      <c r="BB22" s="107">
        <v>3700.4120000000003</v>
      </c>
      <c r="BC22" s="107">
        <v>2527.795</v>
      </c>
      <c r="BD22" s="107">
        <v>3567.89</v>
      </c>
      <c r="BE22" s="107">
        <v>2998.4210000000003</v>
      </c>
      <c r="BF22" s="107">
        <v>3256.55</v>
      </c>
      <c r="BG22" s="107">
        <v>1</v>
      </c>
      <c r="BH22" s="107">
        <v>0.075</v>
      </c>
      <c r="BI22" s="107">
        <f t="shared" si="17"/>
        <v>93.85</v>
      </c>
      <c r="BJ22" s="107">
        <f t="shared" si="17"/>
        <v>154.3</v>
      </c>
      <c r="BK22" s="107">
        <f t="shared" si="17"/>
        <v>558.75</v>
      </c>
      <c r="BL22" s="107">
        <f t="shared" si="17"/>
        <v>155.926</v>
      </c>
      <c r="BM22" s="113" t="s">
        <v>29</v>
      </c>
      <c r="BN22" s="107">
        <f t="shared" si="17"/>
        <v>0</v>
      </c>
      <c r="BO22" s="107">
        <f t="shared" si="17"/>
        <v>0</v>
      </c>
      <c r="BP22" s="124" t="s">
        <v>29</v>
      </c>
      <c r="BQ22" s="107">
        <f t="shared" si="17"/>
        <v>0</v>
      </c>
      <c r="BR22" s="107">
        <f t="shared" si="17"/>
        <v>370.55</v>
      </c>
      <c r="BS22" s="107">
        <f t="shared" si="17"/>
        <v>591.859</v>
      </c>
      <c r="BT22" s="107">
        <f t="shared" si="17"/>
        <v>311.7</v>
      </c>
      <c r="BU22" s="107">
        <f aca="true" t="shared" si="18" ref="BU22:CG22">SUM(BU24:BU27)</f>
        <v>2236.935</v>
      </c>
      <c r="BV22" s="107">
        <f t="shared" si="18"/>
        <v>949.5</v>
      </c>
      <c r="BW22" s="107">
        <f t="shared" si="18"/>
        <v>286.15</v>
      </c>
      <c r="BX22" s="107">
        <f t="shared" si="18"/>
        <v>0</v>
      </c>
      <c r="BY22" s="107">
        <f t="shared" si="18"/>
        <v>202.8</v>
      </c>
      <c r="BZ22" s="107">
        <f t="shared" si="18"/>
        <v>0</v>
      </c>
      <c r="CA22" s="107">
        <f t="shared" si="18"/>
        <v>15.5</v>
      </c>
      <c r="CB22" s="107">
        <f t="shared" si="18"/>
        <v>0</v>
      </c>
      <c r="CC22" s="107">
        <f t="shared" si="18"/>
        <v>0</v>
      </c>
      <c r="CD22" s="107">
        <f t="shared" si="18"/>
        <v>0</v>
      </c>
      <c r="CE22" s="107">
        <f t="shared" si="18"/>
        <v>63.15</v>
      </c>
      <c r="CF22" s="107">
        <f t="shared" si="18"/>
        <v>1584.812</v>
      </c>
      <c r="CG22" s="107">
        <f t="shared" si="18"/>
        <v>598.5</v>
      </c>
      <c r="CH22" s="107">
        <f>SUM(CH25:CH27)</f>
        <v>3700.4120000000003</v>
      </c>
      <c r="CI22" s="107">
        <f aca="true" t="shared" si="19" ref="CI22:DG22">SUM(CI25:CI27)</f>
        <v>361.15</v>
      </c>
      <c r="CJ22" s="107">
        <f t="shared" si="19"/>
        <v>348.245</v>
      </c>
      <c r="CK22" s="107">
        <f t="shared" si="19"/>
        <v>621.9</v>
      </c>
      <c r="CL22" s="107">
        <f t="shared" si="19"/>
        <v>422.55</v>
      </c>
      <c r="CM22" s="113" t="s">
        <v>29</v>
      </c>
      <c r="CN22" s="107">
        <f t="shared" si="19"/>
        <v>75.2</v>
      </c>
      <c r="CO22" s="107">
        <f t="shared" si="19"/>
        <v>103</v>
      </c>
      <c r="CP22" s="107">
        <f t="shared" si="19"/>
        <v>0</v>
      </c>
      <c r="CQ22" s="107">
        <f t="shared" si="19"/>
        <v>82.3</v>
      </c>
      <c r="CR22" s="107">
        <f t="shared" si="19"/>
        <v>66.95</v>
      </c>
      <c r="CS22" s="107">
        <f t="shared" si="19"/>
        <v>164</v>
      </c>
      <c r="CT22" s="107">
        <f t="shared" si="19"/>
        <v>282.5</v>
      </c>
      <c r="CU22" s="107">
        <f t="shared" si="19"/>
        <v>2527.795</v>
      </c>
      <c r="CV22" s="107">
        <f t="shared" si="19"/>
        <v>445.55</v>
      </c>
      <c r="CW22" s="107">
        <f t="shared" si="19"/>
        <v>517.6</v>
      </c>
      <c r="CX22" s="107">
        <f t="shared" si="19"/>
        <v>809.75</v>
      </c>
      <c r="CY22" s="107">
        <f t="shared" si="19"/>
        <v>238.25</v>
      </c>
      <c r="CZ22" s="107">
        <f t="shared" si="19"/>
        <v>0</v>
      </c>
      <c r="DA22" s="107">
        <f t="shared" si="19"/>
        <v>0</v>
      </c>
      <c r="DB22" s="107">
        <f t="shared" si="19"/>
        <v>473.74</v>
      </c>
      <c r="DC22" s="107">
        <f t="shared" si="19"/>
        <v>65.5</v>
      </c>
      <c r="DD22" s="107">
        <f t="shared" si="19"/>
        <v>549.95</v>
      </c>
      <c r="DE22" s="107">
        <f t="shared" si="19"/>
        <v>80</v>
      </c>
      <c r="DF22" s="107">
        <f t="shared" si="19"/>
        <v>386.95</v>
      </c>
      <c r="DG22" s="107">
        <f t="shared" si="19"/>
        <v>0.6</v>
      </c>
      <c r="DH22" s="108">
        <f>SUM(CV22:DG22)</f>
        <v>3567.89</v>
      </c>
      <c r="DI22" s="108">
        <f aca="true" t="shared" si="20" ref="DI22:DT22">SUM(DI25:DI27)</f>
        <v>0</v>
      </c>
      <c r="DJ22" s="108">
        <f t="shared" si="20"/>
        <v>662.35</v>
      </c>
      <c r="DK22" s="108">
        <f t="shared" si="20"/>
        <v>475.6</v>
      </c>
      <c r="DL22" s="108">
        <f t="shared" si="20"/>
        <v>32</v>
      </c>
      <c r="DM22" s="108">
        <f t="shared" si="20"/>
        <v>0</v>
      </c>
      <c r="DN22" s="108">
        <f t="shared" si="20"/>
        <v>0</v>
      </c>
      <c r="DO22" s="108">
        <f t="shared" si="20"/>
        <v>0</v>
      </c>
      <c r="DP22" s="108">
        <f t="shared" si="20"/>
        <v>550.75</v>
      </c>
      <c r="DQ22" s="108">
        <f t="shared" si="20"/>
        <v>1244.05</v>
      </c>
      <c r="DR22" s="108">
        <f t="shared" si="20"/>
        <v>30.9</v>
      </c>
      <c r="DS22" s="108">
        <f t="shared" si="20"/>
        <v>2.771</v>
      </c>
      <c r="DT22" s="107">
        <f t="shared" si="20"/>
        <v>0</v>
      </c>
      <c r="DU22" s="108">
        <f aca="true" t="shared" si="21" ref="DU22:ED22">SUM(DU25:DU27)</f>
        <v>2998.4210000000003</v>
      </c>
      <c r="DV22" s="108">
        <f t="shared" si="21"/>
        <v>1375.6</v>
      </c>
      <c r="DW22" s="108">
        <f t="shared" si="21"/>
        <v>495.15</v>
      </c>
      <c r="DX22" s="108">
        <f t="shared" si="21"/>
        <v>1098.3</v>
      </c>
      <c r="DY22" s="220">
        <v>0</v>
      </c>
      <c r="DZ22" s="108">
        <f t="shared" si="21"/>
        <v>0</v>
      </c>
      <c r="EA22" s="108">
        <f t="shared" si="21"/>
        <v>0</v>
      </c>
      <c r="EB22" s="108">
        <f t="shared" si="21"/>
        <v>0</v>
      </c>
      <c r="EC22" s="108">
        <f t="shared" si="21"/>
        <v>0</v>
      </c>
      <c r="ED22" s="108">
        <f t="shared" si="21"/>
        <v>287.5</v>
      </c>
      <c r="EE22" s="108">
        <f>SUM(EE25:EE27)</f>
        <v>0</v>
      </c>
      <c r="EF22" s="108">
        <f>SUM(EF25:EF27)</f>
        <v>0</v>
      </c>
      <c r="EG22" s="108">
        <f>SUM(EG25:EG27)</f>
        <v>0</v>
      </c>
      <c r="EH22" s="108">
        <f>SUM(EH25:EH27)</f>
        <v>3256.55</v>
      </c>
      <c r="EI22" s="108">
        <f aca="true" t="shared" si="22" ref="EI22:FP22">SUM(EI25:EI27)</f>
        <v>0</v>
      </c>
      <c r="EJ22" s="108">
        <f t="shared" si="22"/>
        <v>0</v>
      </c>
      <c r="EK22" s="108">
        <f t="shared" si="22"/>
        <v>0</v>
      </c>
      <c r="EL22" s="108">
        <f t="shared" si="22"/>
        <v>0</v>
      </c>
      <c r="EM22" s="108">
        <f t="shared" si="22"/>
        <v>0</v>
      </c>
      <c r="EN22" s="108">
        <f t="shared" si="22"/>
        <v>0</v>
      </c>
      <c r="EO22" s="108">
        <f t="shared" si="22"/>
        <v>0</v>
      </c>
      <c r="EP22" s="108">
        <f t="shared" si="22"/>
        <v>0</v>
      </c>
      <c r="EQ22" s="108">
        <f t="shared" si="22"/>
        <v>1</v>
      </c>
      <c r="ER22" s="108">
        <f t="shared" si="22"/>
        <v>0</v>
      </c>
      <c r="ES22" s="108">
        <f t="shared" si="22"/>
        <v>0</v>
      </c>
      <c r="ET22" s="108">
        <f t="shared" si="22"/>
        <v>0</v>
      </c>
      <c r="EU22" s="108">
        <f t="shared" si="22"/>
        <v>1</v>
      </c>
      <c r="EV22" s="108">
        <f t="shared" si="22"/>
        <v>0</v>
      </c>
      <c r="EW22" s="108">
        <f t="shared" si="22"/>
        <v>0</v>
      </c>
      <c r="EX22" s="108">
        <f t="shared" si="22"/>
        <v>0</v>
      </c>
      <c r="EY22" s="108">
        <f t="shared" si="22"/>
        <v>0</v>
      </c>
      <c r="EZ22" s="108">
        <f t="shared" si="22"/>
        <v>0</v>
      </c>
      <c r="FA22" s="108">
        <f t="shared" si="22"/>
        <v>0</v>
      </c>
      <c r="FB22" s="108">
        <f t="shared" si="22"/>
        <v>0</v>
      </c>
      <c r="FC22" s="108">
        <f t="shared" si="22"/>
        <v>0</v>
      </c>
      <c r="FD22" s="108">
        <f t="shared" si="22"/>
        <v>0</v>
      </c>
      <c r="FE22" s="108">
        <f t="shared" si="22"/>
        <v>0</v>
      </c>
      <c r="FF22" s="108">
        <f t="shared" si="22"/>
        <v>0.075</v>
      </c>
      <c r="FG22" s="108">
        <f t="shared" si="22"/>
        <v>0</v>
      </c>
      <c r="FH22" s="108">
        <f aca="true" t="shared" si="23" ref="FH22:FO22">SUM(FH25:FH27)</f>
        <v>0</v>
      </c>
      <c r="FI22" s="108">
        <f t="shared" si="23"/>
        <v>0</v>
      </c>
      <c r="FJ22" s="108">
        <f t="shared" si="23"/>
        <v>0</v>
      </c>
      <c r="FK22" s="108">
        <f t="shared" si="23"/>
        <v>0.547</v>
      </c>
      <c r="FL22" s="108">
        <f t="shared" si="23"/>
        <v>0</v>
      </c>
      <c r="FM22" s="108">
        <f t="shared" si="23"/>
        <v>0</v>
      </c>
      <c r="FN22" s="108">
        <f t="shared" si="23"/>
        <v>0</v>
      </c>
      <c r="FO22" s="108">
        <f t="shared" si="23"/>
        <v>0.329</v>
      </c>
      <c r="FP22" s="108">
        <f t="shared" si="22"/>
        <v>0.8760000000000001</v>
      </c>
      <c r="FQ22" s="14"/>
      <c r="FR22" s="14"/>
      <c r="FS22" s="13"/>
      <c r="FT22" s="13"/>
      <c r="FU22" s="13"/>
      <c r="FV22" s="13"/>
      <c r="FW22" s="12"/>
      <c r="FX22" s="14"/>
    </row>
    <row r="23" spans="1:180" ht="15.75">
      <c r="A23" s="63"/>
      <c r="B23" s="41"/>
      <c r="C23" s="41"/>
      <c r="D23" s="41"/>
      <c r="E23" s="90"/>
      <c r="F23" s="90"/>
      <c r="G23" s="90"/>
      <c r="H23" s="90"/>
      <c r="I23" s="90"/>
      <c r="J23" s="90"/>
      <c r="K23" s="90"/>
      <c r="L23" s="90"/>
      <c r="M23" s="125" t="s">
        <v>27</v>
      </c>
      <c r="N23" s="109" t="s">
        <v>27</v>
      </c>
      <c r="O23" s="110" t="s">
        <v>27</v>
      </c>
      <c r="P23" s="104"/>
      <c r="Q23" s="105"/>
      <c r="R23" s="105"/>
      <c r="S23" s="104"/>
      <c r="T23" s="104"/>
      <c r="U23" s="77"/>
      <c r="V23" s="77"/>
      <c r="W23" s="105"/>
      <c r="X23" s="105"/>
      <c r="Y23" s="106"/>
      <c r="Z23" s="105"/>
      <c r="AA23" s="105"/>
      <c r="AB23" s="105"/>
      <c r="AC23" s="106"/>
      <c r="AD23" s="105"/>
      <c r="AE23" s="106"/>
      <c r="AF23" s="105"/>
      <c r="AG23" s="105"/>
      <c r="AH23" s="106"/>
      <c r="AI23" s="106"/>
      <c r="AJ23" s="106"/>
      <c r="AK23" s="106"/>
      <c r="AL23" s="106"/>
      <c r="AM23" s="106"/>
      <c r="AN23" s="107"/>
      <c r="AO23" s="107"/>
      <c r="AP23" s="77"/>
      <c r="AQ23" s="77"/>
      <c r="AR23" s="77"/>
      <c r="AS23" s="77"/>
      <c r="AT23" s="77"/>
      <c r="AU23" s="120"/>
      <c r="AV23" s="77"/>
      <c r="AW23" s="77"/>
      <c r="AX23" s="107"/>
      <c r="AY23" s="105"/>
      <c r="AZ23" s="117"/>
      <c r="BA23" s="117"/>
      <c r="BB23" s="117"/>
      <c r="BC23" s="117"/>
      <c r="BD23" s="117"/>
      <c r="BE23" s="117"/>
      <c r="BF23" s="117"/>
      <c r="BG23" s="107"/>
      <c r="BH23" s="107"/>
      <c r="BI23" s="77"/>
      <c r="BJ23" s="107"/>
      <c r="BK23" s="77"/>
      <c r="BL23" s="77"/>
      <c r="BM23" s="77"/>
      <c r="BN23" s="77"/>
      <c r="BO23" s="77"/>
      <c r="BP23" s="115"/>
      <c r="BQ23" s="77"/>
      <c r="BR23" s="77"/>
      <c r="BS23" s="77"/>
      <c r="BT23" s="105"/>
      <c r="BU23" s="107"/>
      <c r="BV23" s="77"/>
      <c r="BW23" s="7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13"/>
      <c r="CN23" s="107"/>
      <c r="CO23" s="107"/>
      <c r="CP23" s="107"/>
      <c r="CQ23" s="107"/>
      <c r="CR23" s="107"/>
      <c r="CS23" s="107"/>
      <c r="CT23" s="107"/>
      <c r="CU23" s="107"/>
      <c r="CV23" s="108"/>
      <c r="CW23" s="107"/>
      <c r="CX23" s="107"/>
      <c r="CY23" s="107"/>
      <c r="CZ23" s="107"/>
      <c r="DA23" s="112"/>
      <c r="DB23" s="112"/>
      <c r="DC23" s="112"/>
      <c r="DD23" s="112"/>
      <c r="DE23" s="112"/>
      <c r="DF23" s="112"/>
      <c r="DG23" s="112"/>
      <c r="DH23" s="108"/>
      <c r="DI23" s="113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220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3"/>
      <c r="FR23" s="13"/>
      <c r="FS23" s="14"/>
      <c r="FT23" s="12"/>
      <c r="FU23" s="12"/>
      <c r="FV23" s="12"/>
      <c r="FW23" s="12"/>
      <c r="FX23" s="12"/>
    </row>
    <row r="24" spans="1:180" ht="15.75" customHeight="1" hidden="1">
      <c r="A24" s="103" t="s">
        <v>37</v>
      </c>
      <c r="B24" s="41"/>
      <c r="C24" s="41"/>
      <c r="D24" s="41"/>
      <c r="E24" s="90">
        <v>928</v>
      </c>
      <c r="F24" s="90">
        <v>975</v>
      </c>
      <c r="G24" s="90">
        <v>1386</v>
      </c>
      <c r="H24" s="90">
        <v>744</v>
      </c>
      <c r="I24" s="90">
        <v>825</v>
      </c>
      <c r="J24" s="90">
        <v>57</v>
      </c>
      <c r="K24" s="90">
        <v>79</v>
      </c>
      <c r="L24" s="90">
        <v>90</v>
      </c>
      <c r="M24" s="90">
        <v>20</v>
      </c>
      <c r="N24" s="114" t="s">
        <v>29</v>
      </c>
      <c r="O24" s="113" t="s">
        <v>29</v>
      </c>
      <c r="P24" s="114" t="s">
        <v>29</v>
      </c>
      <c r="Q24" s="113" t="s">
        <v>29</v>
      </c>
      <c r="R24" s="116" t="s">
        <v>29</v>
      </c>
      <c r="S24" s="114" t="s">
        <v>29</v>
      </c>
      <c r="T24" s="114" t="s">
        <v>29</v>
      </c>
      <c r="U24" s="113" t="s">
        <v>29</v>
      </c>
      <c r="V24" s="113" t="s">
        <v>29</v>
      </c>
      <c r="W24" s="116" t="s">
        <v>29</v>
      </c>
      <c r="X24" s="116" t="s">
        <v>29</v>
      </c>
      <c r="Y24" s="124" t="s">
        <v>29</v>
      </c>
      <c r="Z24" s="116" t="s">
        <v>29</v>
      </c>
      <c r="AA24" s="126"/>
      <c r="AB24" s="126" t="s">
        <v>29</v>
      </c>
      <c r="AC24" s="124" t="s">
        <v>29</v>
      </c>
      <c r="AD24" s="116" t="s">
        <v>29</v>
      </c>
      <c r="AE24" s="106">
        <f>SUM(S24:Z24)</f>
        <v>0</v>
      </c>
      <c r="AF24" s="105">
        <v>0</v>
      </c>
      <c r="AG24" s="105"/>
      <c r="AH24" s="106"/>
      <c r="AI24" s="106"/>
      <c r="AJ24" s="106"/>
      <c r="AK24" s="106"/>
      <c r="AL24" s="106"/>
      <c r="AM24" s="106"/>
      <c r="AN24" s="107"/>
      <c r="AO24" s="107"/>
      <c r="AP24" s="77"/>
      <c r="AQ24" s="107"/>
      <c r="AR24" s="77"/>
      <c r="AS24" s="77"/>
      <c r="AT24" s="77"/>
      <c r="AU24" s="120"/>
      <c r="AV24" s="45"/>
      <c r="AW24" s="45"/>
      <c r="AX24" s="107"/>
      <c r="AY24" s="105"/>
      <c r="AZ24" s="117"/>
      <c r="BA24" s="117"/>
      <c r="BB24" s="117">
        <v>0</v>
      </c>
      <c r="BC24" s="117"/>
      <c r="BD24" s="117"/>
      <c r="BE24" s="117"/>
      <c r="BF24" s="117"/>
      <c r="BG24" s="107"/>
      <c r="BH24" s="107"/>
      <c r="BI24" s="77"/>
      <c r="BJ24" s="107"/>
      <c r="BK24" s="77"/>
      <c r="BL24" s="77"/>
      <c r="BM24" s="77"/>
      <c r="BN24" s="77"/>
      <c r="BO24" s="77"/>
      <c r="BP24" s="115"/>
      <c r="BQ24" s="77"/>
      <c r="BR24" s="77"/>
      <c r="BS24" s="77"/>
      <c r="BT24" s="105"/>
      <c r="BU24" s="107">
        <f>SUM(BI24:BS24)</f>
        <v>0</v>
      </c>
      <c r="BV24" s="77"/>
      <c r="BW24" s="7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>
        <f>SUM(BV24:BY24)</f>
        <v>0</v>
      </c>
      <c r="CI24" s="107"/>
      <c r="CJ24" s="107"/>
      <c r="CK24" s="107"/>
      <c r="CL24" s="107"/>
      <c r="CM24" s="113" t="s">
        <v>29</v>
      </c>
      <c r="CN24" s="107"/>
      <c r="CO24" s="107"/>
      <c r="CP24" s="107"/>
      <c r="CQ24" s="107"/>
      <c r="CR24" s="107"/>
      <c r="CS24" s="107"/>
      <c r="CT24" s="107"/>
      <c r="CU24" s="107"/>
      <c r="CV24" s="108"/>
      <c r="CW24" s="107"/>
      <c r="CX24" s="107"/>
      <c r="CY24" s="107"/>
      <c r="CZ24" s="107"/>
      <c r="DA24" s="127"/>
      <c r="DB24" s="127"/>
      <c r="DC24" s="127"/>
      <c r="DD24" s="127"/>
      <c r="DE24" s="127"/>
      <c r="DF24" s="127"/>
      <c r="DG24" s="127"/>
      <c r="DH24" s="108"/>
      <c r="DI24" s="113" t="s">
        <v>29</v>
      </c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220">
        <v>0</v>
      </c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3"/>
      <c r="FR24" s="13"/>
      <c r="FS24" s="24"/>
      <c r="FT24" s="13"/>
      <c r="FU24" s="13"/>
      <c r="FV24" s="13"/>
      <c r="FW24" s="12"/>
      <c r="FX24" s="14"/>
    </row>
    <row r="25" spans="1:180" ht="15.75">
      <c r="A25" s="103" t="s">
        <v>38</v>
      </c>
      <c r="B25" s="41"/>
      <c r="C25" s="41"/>
      <c r="D25" s="41"/>
      <c r="E25" s="90">
        <v>3749</v>
      </c>
      <c r="F25" s="90">
        <v>3787</v>
      </c>
      <c r="G25" s="90">
        <v>12109</v>
      </c>
      <c r="H25" s="90">
        <v>4160</v>
      </c>
      <c r="I25" s="90">
        <v>8110</v>
      </c>
      <c r="J25" s="90">
        <v>12297</v>
      </c>
      <c r="K25" s="90">
        <v>11810</v>
      </c>
      <c r="L25" s="90">
        <v>9690</v>
      </c>
      <c r="M25" s="90">
        <v>5094</v>
      </c>
      <c r="N25" s="104">
        <v>2515</v>
      </c>
      <c r="O25" s="105">
        <v>3438</v>
      </c>
      <c r="P25" s="104">
        <v>6896</v>
      </c>
      <c r="Q25" s="105">
        <v>10226</v>
      </c>
      <c r="R25" s="105">
        <v>6944.9580000000005</v>
      </c>
      <c r="S25" s="104">
        <v>910</v>
      </c>
      <c r="T25" s="104">
        <v>1275</v>
      </c>
      <c r="U25" s="77">
        <v>191</v>
      </c>
      <c r="V25" s="77">
        <v>393</v>
      </c>
      <c r="W25" s="115" t="s">
        <v>80</v>
      </c>
      <c r="X25" s="119" t="s">
        <v>29</v>
      </c>
      <c r="Y25" s="106">
        <v>65</v>
      </c>
      <c r="Z25" s="105">
        <v>245</v>
      </c>
      <c r="AA25" s="105">
        <v>405</v>
      </c>
      <c r="AB25" s="105">
        <v>1119</v>
      </c>
      <c r="AC25" s="106">
        <v>299</v>
      </c>
      <c r="AD25" s="105">
        <v>2042.958</v>
      </c>
      <c r="AE25" s="106">
        <f>SUM(S25:AD25)</f>
        <v>6944.9580000000005</v>
      </c>
      <c r="AF25" s="105">
        <v>11862.8</v>
      </c>
      <c r="AG25" s="105">
        <v>2900</v>
      </c>
      <c r="AH25" s="106">
        <v>11234</v>
      </c>
      <c r="AI25" s="106">
        <v>8254</v>
      </c>
      <c r="AJ25" s="106">
        <v>6828</v>
      </c>
      <c r="AK25" s="106">
        <v>6895</v>
      </c>
      <c r="AL25" s="106">
        <v>2610.831</v>
      </c>
      <c r="AM25" s="106">
        <v>2414.7</v>
      </c>
      <c r="AN25" s="113">
        <v>444.35</v>
      </c>
      <c r="AO25" s="113">
        <v>900.55</v>
      </c>
      <c r="AP25" s="113" t="s">
        <v>29</v>
      </c>
      <c r="AQ25" s="113" t="s">
        <v>29</v>
      </c>
      <c r="AR25" s="113">
        <v>126.85</v>
      </c>
      <c r="AS25" s="77">
        <v>62.7</v>
      </c>
      <c r="AT25" s="113" t="s">
        <v>29</v>
      </c>
      <c r="AU25" s="113" t="s">
        <v>29</v>
      </c>
      <c r="AV25" s="113" t="s">
        <v>29</v>
      </c>
      <c r="AW25" s="77">
        <v>133.5</v>
      </c>
      <c r="AX25" s="77">
        <v>88</v>
      </c>
      <c r="AY25" s="113">
        <v>658.75</v>
      </c>
      <c r="AZ25" s="77">
        <f>SUM(AN25:AY25)</f>
        <v>2414.7</v>
      </c>
      <c r="BA25" s="77">
        <v>2236.935</v>
      </c>
      <c r="BB25" s="77">
        <v>3700.4120000000003</v>
      </c>
      <c r="BC25" s="77">
        <v>2527.795</v>
      </c>
      <c r="BD25" s="77">
        <v>3567.89</v>
      </c>
      <c r="BE25" s="77">
        <v>2998.4210000000003</v>
      </c>
      <c r="BF25" s="77">
        <v>3256.55</v>
      </c>
      <c r="BG25" s="107">
        <v>1</v>
      </c>
      <c r="BH25" s="107">
        <v>0.075</v>
      </c>
      <c r="BI25" s="113">
        <v>93.85</v>
      </c>
      <c r="BJ25" s="117">
        <v>154.3</v>
      </c>
      <c r="BK25" s="113">
        <v>558.75</v>
      </c>
      <c r="BL25" s="113">
        <v>155.926</v>
      </c>
      <c r="BM25" s="113" t="s">
        <v>29</v>
      </c>
      <c r="BN25" s="113" t="s">
        <v>29</v>
      </c>
      <c r="BO25" s="113" t="s">
        <v>29</v>
      </c>
      <c r="BP25" s="113" t="s">
        <v>29</v>
      </c>
      <c r="BQ25" s="113" t="s">
        <v>29</v>
      </c>
      <c r="BR25" s="77">
        <v>370.55</v>
      </c>
      <c r="BS25" s="77">
        <v>591.859</v>
      </c>
      <c r="BT25" s="113">
        <v>311.7</v>
      </c>
      <c r="BU25" s="107">
        <f>SUM(BI25:BT25)</f>
        <v>2236.935</v>
      </c>
      <c r="BV25" s="105">
        <v>949.5</v>
      </c>
      <c r="BW25" s="105">
        <v>286.15</v>
      </c>
      <c r="BX25" s="113" t="s">
        <v>29</v>
      </c>
      <c r="BY25" s="107">
        <f>59.95+142.85</f>
        <v>202.8</v>
      </c>
      <c r="BZ25" s="107"/>
      <c r="CA25" s="107">
        <v>15.5</v>
      </c>
      <c r="CB25" s="107"/>
      <c r="CC25" s="128" t="s">
        <v>29</v>
      </c>
      <c r="CD25" s="128" t="s">
        <v>29</v>
      </c>
      <c r="CE25" s="117">
        <v>63.15</v>
      </c>
      <c r="CF25" s="117">
        <v>1584.812</v>
      </c>
      <c r="CG25" s="117">
        <v>598.5</v>
      </c>
      <c r="CH25" s="107">
        <f>SUM(BV25:CG25)</f>
        <v>3700.4120000000003</v>
      </c>
      <c r="CI25" s="117">
        <v>361.15</v>
      </c>
      <c r="CJ25" s="117">
        <v>348.245</v>
      </c>
      <c r="CK25" s="117">
        <v>621.9</v>
      </c>
      <c r="CL25" s="107">
        <v>422.55</v>
      </c>
      <c r="CM25" s="113" t="s">
        <v>29</v>
      </c>
      <c r="CN25" s="107">
        <v>75.2</v>
      </c>
      <c r="CO25" s="107">
        <v>103</v>
      </c>
      <c r="CP25" s="107">
        <v>0</v>
      </c>
      <c r="CQ25" s="107">
        <v>82.3</v>
      </c>
      <c r="CR25" s="107">
        <v>66.95</v>
      </c>
      <c r="CS25" s="107">
        <v>164</v>
      </c>
      <c r="CT25" s="107">
        <v>282.5</v>
      </c>
      <c r="CU25" s="107">
        <f>SUM(CI25:CT25)</f>
        <v>2527.795</v>
      </c>
      <c r="CV25" s="108">
        <v>445.55</v>
      </c>
      <c r="CW25" s="117">
        <v>517.6</v>
      </c>
      <c r="CX25" s="117">
        <v>809.75</v>
      </c>
      <c r="CY25" s="117">
        <v>238.25</v>
      </c>
      <c r="CZ25" s="113" t="s">
        <v>29</v>
      </c>
      <c r="DA25" s="113" t="s">
        <v>29</v>
      </c>
      <c r="DB25" s="117">
        <v>473.74</v>
      </c>
      <c r="DC25" s="117">
        <v>65.5</v>
      </c>
      <c r="DD25" s="117">
        <v>549.95</v>
      </c>
      <c r="DE25" s="117">
        <v>80</v>
      </c>
      <c r="DF25" s="117">
        <v>386.95</v>
      </c>
      <c r="DG25" s="117">
        <v>0.6</v>
      </c>
      <c r="DH25" s="108">
        <f>SUM(CV25:DG25)</f>
        <v>3567.89</v>
      </c>
      <c r="DI25" s="113" t="s">
        <v>29</v>
      </c>
      <c r="DJ25" s="108">
        <v>662.35</v>
      </c>
      <c r="DK25" s="108">
        <v>475.6</v>
      </c>
      <c r="DL25" s="108">
        <v>32</v>
      </c>
      <c r="DM25" s="108">
        <v>0</v>
      </c>
      <c r="DN25" s="113" t="s">
        <v>29</v>
      </c>
      <c r="DO25" s="113" t="s">
        <v>29</v>
      </c>
      <c r="DP25" s="117">
        <v>550.75</v>
      </c>
      <c r="DQ25" s="117">
        <v>1244.05</v>
      </c>
      <c r="DR25" s="117">
        <v>30.9</v>
      </c>
      <c r="DS25" s="117">
        <v>2.771</v>
      </c>
      <c r="DT25" s="117" t="s">
        <v>29</v>
      </c>
      <c r="DU25" s="108">
        <f>SUM(DI25:DT25)</f>
        <v>2998.4210000000003</v>
      </c>
      <c r="DV25" s="108">
        <v>1375.6</v>
      </c>
      <c r="DW25" s="108">
        <v>495.15</v>
      </c>
      <c r="DX25" s="108">
        <v>1098.3</v>
      </c>
      <c r="DY25" s="220">
        <v>0</v>
      </c>
      <c r="DZ25" s="108">
        <v>0</v>
      </c>
      <c r="EA25" s="108">
        <v>0</v>
      </c>
      <c r="EB25" s="113" t="s">
        <v>29</v>
      </c>
      <c r="EC25" s="220" t="s">
        <v>29</v>
      </c>
      <c r="ED25" s="108">
        <v>287.5</v>
      </c>
      <c r="EE25" s="220">
        <v>0</v>
      </c>
      <c r="EF25" s="220">
        <v>0</v>
      </c>
      <c r="EG25" s="220">
        <v>0</v>
      </c>
      <c r="EH25" s="108">
        <f>SUM(DV25:EG25)</f>
        <v>3256.55</v>
      </c>
      <c r="EI25" s="220">
        <v>0</v>
      </c>
      <c r="EJ25" s="220">
        <v>0</v>
      </c>
      <c r="EK25" s="220">
        <v>0</v>
      </c>
      <c r="EL25" s="220">
        <v>0</v>
      </c>
      <c r="EM25" s="220">
        <v>0</v>
      </c>
      <c r="EN25" s="220">
        <v>0</v>
      </c>
      <c r="EO25" s="220">
        <v>0</v>
      </c>
      <c r="EP25" s="220">
        <v>0</v>
      </c>
      <c r="EQ25" s="108">
        <v>1</v>
      </c>
      <c r="ER25" s="220">
        <v>0</v>
      </c>
      <c r="ES25" s="220">
        <v>0</v>
      </c>
      <c r="ET25" s="220">
        <v>0</v>
      </c>
      <c r="EU25" s="108">
        <f>SUM(EI25:ET25)</f>
        <v>1</v>
      </c>
      <c r="EV25" s="220">
        <v>0</v>
      </c>
      <c r="EW25" s="220">
        <v>0</v>
      </c>
      <c r="EX25" s="220">
        <v>0</v>
      </c>
      <c r="EY25" s="220">
        <v>0</v>
      </c>
      <c r="EZ25" s="220">
        <v>0</v>
      </c>
      <c r="FA25" s="248">
        <v>0</v>
      </c>
      <c r="FB25" s="248">
        <v>0</v>
      </c>
      <c r="FC25" s="248">
        <v>0</v>
      </c>
      <c r="FD25" s="248">
        <v>0</v>
      </c>
      <c r="FE25" s="248">
        <v>0</v>
      </c>
      <c r="FF25" s="108">
        <v>0.075</v>
      </c>
      <c r="FG25" s="208">
        <v>0</v>
      </c>
      <c r="FH25" s="108">
        <f>SUM(EV25:FB25)</f>
        <v>0</v>
      </c>
      <c r="FI25" s="220">
        <v>0</v>
      </c>
      <c r="FJ25" s="220">
        <v>0</v>
      </c>
      <c r="FK25" s="108">
        <v>0.547</v>
      </c>
      <c r="FL25" s="220">
        <v>0</v>
      </c>
      <c r="FM25" s="248">
        <v>0</v>
      </c>
      <c r="FN25" s="248">
        <v>0</v>
      </c>
      <c r="FO25" s="248">
        <v>0.329</v>
      </c>
      <c r="FP25" s="108">
        <f>SUM(FI25:FO25)</f>
        <v>0.8760000000000001</v>
      </c>
      <c r="FQ25" s="14"/>
      <c r="FR25" s="14"/>
      <c r="FS25" s="24"/>
      <c r="FT25" s="13"/>
      <c r="FU25" s="13"/>
      <c r="FV25" s="13"/>
      <c r="FW25" s="12"/>
      <c r="FX25" s="14"/>
    </row>
    <row r="26" spans="1:180" ht="15.75" customHeight="1" hidden="1">
      <c r="A26" s="103" t="s">
        <v>39</v>
      </c>
      <c r="B26" s="41"/>
      <c r="C26" s="41"/>
      <c r="D26" s="41"/>
      <c r="E26" s="90">
        <v>104</v>
      </c>
      <c r="F26" s="90">
        <v>202</v>
      </c>
      <c r="G26" s="90">
        <v>133</v>
      </c>
      <c r="H26" s="90">
        <v>236</v>
      </c>
      <c r="I26" s="90">
        <v>114</v>
      </c>
      <c r="J26" s="90">
        <v>161</v>
      </c>
      <c r="K26" s="90">
        <v>225</v>
      </c>
      <c r="L26" s="90">
        <v>16</v>
      </c>
      <c r="M26" s="90">
        <v>18</v>
      </c>
      <c r="N26" s="114" t="s">
        <v>29</v>
      </c>
      <c r="O26" s="113" t="s">
        <v>29</v>
      </c>
      <c r="P26" s="114" t="s">
        <v>29</v>
      </c>
      <c r="Q26" s="113" t="s">
        <v>29</v>
      </c>
      <c r="R26" s="116" t="s">
        <v>29</v>
      </c>
      <c r="S26" s="126" t="s">
        <v>29</v>
      </c>
      <c r="T26" s="126" t="s">
        <v>29</v>
      </c>
      <c r="U26" s="116" t="s">
        <v>29</v>
      </c>
      <c r="V26" s="116" t="s">
        <v>29</v>
      </c>
      <c r="W26" s="116" t="s">
        <v>29</v>
      </c>
      <c r="X26" s="116" t="s">
        <v>29</v>
      </c>
      <c r="Y26" s="124" t="s">
        <v>29</v>
      </c>
      <c r="Z26" s="116" t="s">
        <v>29</v>
      </c>
      <c r="AA26" s="126"/>
      <c r="AB26" s="126" t="s">
        <v>29</v>
      </c>
      <c r="AC26" s="124" t="s">
        <v>29</v>
      </c>
      <c r="AD26" s="116" t="s">
        <v>29</v>
      </c>
      <c r="AE26" s="106">
        <f>SUM(S26:Z26)</f>
        <v>0</v>
      </c>
      <c r="AF26" s="105">
        <v>0</v>
      </c>
      <c r="AG26" s="105"/>
      <c r="AH26" s="106"/>
      <c r="AI26" s="106"/>
      <c r="AJ26" s="106"/>
      <c r="AK26" s="106"/>
      <c r="AL26" s="106"/>
      <c r="AM26" s="106"/>
      <c r="AN26" s="117"/>
      <c r="AO26" s="107"/>
      <c r="AP26" s="77"/>
      <c r="AQ26" s="107"/>
      <c r="AR26" s="77"/>
      <c r="AS26" s="77"/>
      <c r="AT26" s="77"/>
      <c r="AU26" s="45"/>
      <c r="AV26" s="45"/>
      <c r="AW26" s="45"/>
      <c r="AX26" s="107"/>
      <c r="AY26" s="105"/>
      <c r="AZ26" s="117"/>
      <c r="BA26" s="117">
        <v>0</v>
      </c>
      <c r="BB26" s="117">
        <v>0</v>
      </c>
      <c r="BC26" s="117"/>
      <c r="BD26" s="117"/>
      <c r="BE26" s="117"/>
      <c r="BF26" s="117"/>
      <c r="BG26" s="107"/>
      <c r="BH26" s="107"/>
      <c r="BI26" s="113"/>
      <c r="BJ26" s="107"/>
      <c r="BK26" s="77"/>
      <c r="BL26" s="77"/>
      <c r="BM26" s="77"/>
      <c r="BN26" s="113" t="s">
        <v>29</v>
      </c>
      <c r="BO26" s="77"/>
      <c r="BP26" s="77"/>
      <c r="BQ26" s="77"/>
      <c r="BR26" s="77"/>
      <c r="BS26" s="77"/>
      <c r="BT26" s="105"/>
      <c r="BU26" s="107">
        <f>SUM(BI26:BT26)</f>
        <v>0</v>
      </c>
      <c r="BV26" s="77"/>
      <c r="BW26" s="7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>
        <f>SUM(BV26:BY26)</f>
        <v>0</v>
      </c>
      <c r="CI26" s="107"/>
      <c r="CJ26" s="107"/>
      <c r="CK26" s="107"/>
      <c r="CL26" s="107"/>
      <c r="CM26" s="113" t="s">
        <v>29</v>
      </c>
      <c r="CN26" s="107"/>
      <c r="CO26" s="107"/>
      <c r="CP26" s="107"/>
      <c r="CQ26" s="107"/>
      <c r="CR26" s="107"/>
      <c r="CS26" s="107"/>
      <c r="CT26" s="107"/>
      <c r="CU26" s="107"/>
      <c r="CV26" s="108"/>
      <c r="CW26" s="107"/>
      <c r="CX26" s="107"/>
      <c r="CY26" s="107"/>
      <c r="CZ26" s="107"/>
      <c r="DA26" s="127"/>
      <c r="DB26" s="127"/>
      <c r="DC26" s="127"/>
      <c r="DD26" s="127"/>
      <c r="DE26" s="127"/>
      <c r="DF26" s="127"/>
      <c r="DG26" s="127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220">
        <v>0</v>
      </c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3"/>
      <c r="FR26" s="13"/>
      <c r="FS26" s="14"/>
      <c r="FT26" s="13"/>
      <c r="FU26" s="13"/>
      <c r="FV26" s="13"/>
      <c r="FW26" s="14"/>
      <c r="FX26" s="14"/>
    </row>
    <row r="27" spans="1:180" ht="15.75">
      <c r="A27" s="63"/>
      <c r="B27" s="41"/>
      <c r="C27" s="41"/>
      <c r="D27" s="41"/>
      <c r="E27" s="90"/>
      <c r="F27" s="90"/>
      <c r="G27" s="90"/>
      <c r="H27" s="90"/>
      <c r="I27" s="90"/>
      <c r="J27" s="90"/>
      <c r="K27" s="90"/>
      <c r="L27" s="90"/>
      <c r="M27" s="125" t="s">
        <v>27</v>
      </c>
      <c r="N27" s="109" t="s">
        <v>27</v>
      </c>
      <c r="O27" s="110" t="s">
        <v>27</v>
      </c>
      <c r="P27" s="104"/>
      <c r="Q27" s="105"/>
      <c r="R27" s="105"/>
      <c r="S27" s="104"/>
      <c r="T27" s="104"/>
      <c r="U27" s="77"/>
      <c r="V27" s="77"/>
      <c r="W27" s="105"/>
      <c r="X27" s="105"/>
      <c r="Y27" s="106"/>
      <c r="Z27" s="105"/>
      <c r="AA27" s="105"/>
      <c r="AB27" s="105"/>
      <c r="AC27" s="106"/>
      <c r="AD27" s="105"/>
      <c r="AE27" s="106"/>
      <c r="AF27" s="105"/>
      <c r="AG27" s="105"/>
      <c r="AH27" s="106"/>
      <c r="AI27" s="106"/>
      <c r="AJ27" s="106"/>
      <c r="AK27" s="106"/>
      <c r="AL27" s="106"/>
      <c r="AM27" s="106"/>
      <c r="AN27" s="117"/>
      <c r="AO27" s="107"/>
      <c r="AP27" s="105"/>
      <c r="AQ27" s="107"/>
      <c r="AR27" s="77"/>
      <c r="AS27" s="77"/>
      <c r="AT27" s="77"/>
      <c r="AU27" s="107"/>
      <c r="AV27" s="77"/>
      <c r="AW27" s="77"/>
      <c r="AX27" s="107"/>
      <c r="AY27" s="105"/>
      <c r="AZ27" s="117"/>
      <c r="BA27" s="117"/>
      <c r="BB27" s="117"/>
      <c r="BC27" s="117"/>
      <c r="BD27" s="117"/>
      <c r="BE27" s="117"/>
      <c r="BF27" s="117"/>
      <c r="BG27" s="107"/>
      <c r="BH27" s="107"/>
      <c r="BI27" s="113"/>
      <c r="BJ27" s="107"/>
      <c r="BK27" s="105"/>
      <c r="BL27" s="77"/>
      <c r="BM27" s="77"/>
      <c r="BN27" s="113"/>
      <c r="BO27" s="77"/>
      <c r="BP27" s="77"/>
      <c r="BQ27" s="77"/>
      <c r="BR27" s="77"/>
      <c r="BS27" s="77"/>
      <c r="BT27" s="105"/>
      <c r="BU27" s="107"/>
      <c r="BV27" s="77"/>
      <c r="BW27" s="7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13"/>
      <c r="CJ27" s="107"/>
      <c r="CK27" s="113"/>
      <c r="CL27" s="107"/>
      <c r="CM27" s="113"/>
      <c r="CN27" s="107"/>
      <c r="CO27" s="107"/>
      <c r="CP27" s="107"/>
      <c r="CQ27" s="107"/>
      <c r="CR27" s="107"/>
      <c r="CS27" s="107"/>
      <c r="CT27" s="107"/>
      <c r="CU27" s="107"/>
      <c r="CV27" s="108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8"/>
      <c r="DZ27" s="108"/>
      <c r="EA27" s="108"/>
      <c r="EB27" s="108"/>
      <c r="EC27" s="108"/>
      <c r="ED27" s="108"/>
      <c r="EE27" s="108"/>
      <c r="EF27" s="108"/>
      <c r="EG27" s="108"/>
      <c r="EH27" s="107"/>
      <c r="EI27" s="108"/>
      <c r="EJ27" s="107"/>
      <c r="EK27" s="107"/>
      <c r="EL27" s="107"/>
      <c r="EM27" s="107"/>
      <c r="EN27" s="107"/>
      <c r="EO27" s="108"/>
      <c r="EP27" s="220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3"/>
      <c r="FR27" s="13"/>
      <c r="FS27" s="13"/>
      <c r="FT27" s="13"/>
      <c r="FU27" s="13"/>
      <c r="FV27" s="13"/>
      <c r="FW27" s="12"/>
      <c r="FX27" s="14"/>
    </row>
    <row r="28" spans="1:180" ht="15.75">
      <c r="A28" s="319" t="s">
        <v>40</v>
      </c>
      <c r="B28" s="41"/>
      <c r="C28" s="41"/>
      <c r="D28" s="41"/>
      <c r="E28" s="90">
        <f aca="true" t="shared" si="24" ref="E28:Q28">SUM(E30:E33)</f>
        <v>5313</v>
      </c>
      <c r="F28" s="90">
        <f t="shared" si="24"/>
        <v>3334</v>
      </c>
      <c r="G28" s="90">
        <f t="shared" si="24"/>
        <v>9655</v>
      </c>
      <c r="H28" s="90">
        <f t="shared" si="24"/>
        <v>9622</v>
      </c>
      <c r="I28" s="90">
        <f t="shared" si="24"/>
        <v>12600</v>
      </c>
      <c r="J28" s="90">
        <f t="shared" si="24"/>
        <v>37547</v>
      </c>
      <c r="K28" s="90">
        <f t="shared" si="24"/>
        <v>48036</v>
      </c>
      <c r="L28" s="90">
        <f t="shared" si="24"/>
        <v>34880</v>
      </c>
      <c r="M28" s="90">
        <f t="shared" si="24"/>
        <v>28910</v>
      </c>
      <c r="N28" s="104">
        <f t="shared" si="24"/>
        <v>17553</v>
      </c>
      <c r="O28" s="105">
        <f t="shared" si="24"/>
        <v>8119</v>
      </c>
      <c r="P28" s="104">
        <f t="shared" si="24"/>
        <v>3276</v>
      </c>
      <c r="Q28" s="105">
        <f t="shared" si="24"/>
        <v>20434</v>
      </c>
      <c r="R28" s="105">
        <v>15166.777</v>
      </c>
      <c r="S28" s="104">
        <f aca="true" t="shared" si="25" ref="S28:X28">SUM(S30:S33)</f>
        <v>977</v>
      </c>
      <c r="T28" s="104">
        <f>SUM(T30:T33)</f>
        <v>1686</v>
      </c>
      <c r="U28" s="105">
        <f t="shared" si="25"/>
        <v>1447</v>
      </c>
      <c r="V28" s="105">
        <f t="shared" si="25"/>
        <v>2359</v>
      </c>
      <c r="W28" s="105">
        <f t="shared" si="25"/>
        <v>2622</v>
      </c>
      <c r="X28" s="105">
        <f t="shared" si="25"/>
        <v>913</v>
      </c>
      <c r="Y28" s="106">
        <f aca="true" t="shared" si="26" ref="Y28:AE28">SUM(Y30:Y33)</f>
        <v>868</v>
      </c>
      <c r="Z28" s="105">
        <f t="shared" si="26"/>
        <v>1286</v>
      </c>
      <c r="AA28" s="105">
        <f t="shared" si="26"/>
        <v>1299</v>
      </c>
      <c r="AB28" s="105">
        <f t="shared" si="26"/>
        <v>1058</v>
      </c>
      <c r="AC28" s="105">
        <f t="shared" si="26"/>
        <v>1</v>
      </c>
      <c r="AD28" s="105">
        <f t="shared" si="26"/>
        <v>650.777</v>
      </c>
      <c r="AE28" s="106">
        <f t="shared" si="26"/>
        <v>15166.776999999998</v>
      </c>
      <c r="AF28" s="105">
        <v>1549.397</v>
      </c>
      <c r="AG28" s="105">
        <v>8924</v>
      </c>
      <c r="AH28" s="106">
        <v>13400</v>
      </c>
      <c r="AI28" s="106">
        <v>9336</v>
      </c>
      <c r="AJ28" s="106">
        <v>2814</v>
      </c>
      <c r="AK28" s="106">
        <v>3650</v>
      </c>
      <c r="AL28" s="106">
        <v>46.2</v>
      </c>
      <c r="AM28" s="106">
        <v>335.39</v>
      </c>
      <c r="AN28" s="113">
        <v>335</v>
      </c>
      <c r="AO28" s="113" t="s">
        <v>29</v>
      </c>
      <c r="AP28" s="113" t="s">
        <v>29</v>
      </c>
      <c r="AQ28" s="113" t="s">
        <v>29</v>
      </c>
      <c r="AR28" s="113" t="s">
        <v>29</v>
      </c>
      <c r="AS28" s="113" t="s">
        <v>29</v>
      </c>
      <c r="AT28" s="113" t="s">
        <v>29</v>
      </c>
      <c r="AU28" s="113" t="s">
        <v>29</v>
      </c>
      <c r="AV28" s="113" t="s">
        <v>29</v>
      </c>
      <c r="AW28" s="113" t="s">
        <v>29</v>
      </c>
      <c r="AX28" s="113" t="s">
        <v>29</v>
      </c>
      <c r="AY28" s="113" t="s">
        <v>29</v>
      </c>
      <c r="AZ28" s="107">
        <f>SUM(AZ30:AZ33)</f>
        <v>335.39</v>
      </c>
      <c r="BA28" s="220">
        <v>0</v>
      </c>
      <c r="BB28" s="220">
        <v>0</v>
      </c>
      <c r="BC28" s="220">
        <v>0</v>
      </c>
      <c r="BD28" s="220">
        <v>0</v>
      </c>
      <c r="BE28" s="220">
        <v>0</v>
      </c>
      <c r="BF28" s="220">
        <v>0</v>
      </c>
      <c r="BG28" s="107">
        <v>4372.299999999999</v>
      </c>
      <c r="BH28" s="107">
        <v>6159.187</v>
      </c>
      <c r="BI28" s="113" t="s">
        <v>29</v>
      </c>
      <c r="BJ28" s="113" t="s">
        <v>29</v>
      </c>
      <c r="BK28" s="113" t="s">
        <v>29</v>
      </c>
      <c r="BL28" s="113" t="s">
        <v>29</v>
      </c>
      <c r="BM28" s="113" t="s">
        <v>29</v>
      </c>
      <c r="BN28" s="113" t="s">
        <v>29</v>
      </c>
      <c r="BO28" s="113" t="s">
        <v>29</v>
      </c>
      <c r="BP28" s="113" t="s">
        <v>29</v>
      </c>
      <c r="BQ28" s="113" t="s">
        <v>29</v>
      </c>
      <c r="BR28" s="113" t="s">
        <v>29</v>
      </c>
      <c r="BS28" s="113" t="s">
        <v>29</v>
      </c>
      <c r="BT28" s="113" t="s">
        <v>29</v>
      </c>
      <c r="BU28" s="113" t="s">
        <v>29</v>
      </c>
      <c r="BV28" s="113" t="s">
        <v>29</v>
      </c>
      <c r="BW28" s="113" t="s">
        <v>29</v>
      </c>
      <c r="BX28" s="113" t="s">
        <v>29</v>
      </c>
      <c r="BY28" s="113" t="s">
        <v>29</v>
      </c>
      <c r="BZ28" s="113" t="s">
        <v>29</v>
      </c>
      <c r="CA28" s="113" t="s">
        <v>29</v>
      </c>
      <c r="CB28" s="113" t="s">
        <v>29</v>
      </c>
      <c r="CC28" s="113" t="s">
        <v>29</v>
      </c>
      <c r="CD28" s="113" t="s">
        <v>29</v>
      </c>
      <c r="CE28" s="113" t="s">
        <v>29</v>
      </c>
      <c r="CF28" s="113" t="s">
        <v>29</v>
      </c>
      <c r="CG28" s="113" t="s">
        <v>29</v>
      </c>
      <c r="CH28" s="113" t="s">
        <v>29</v>
      </c>
      <c r="CI28" s="113" t="s">
        <v>29</v>
      </c>
      <c r="CJ28" s="113" t="s">
        <v>29</v>
      </c>
      <c r="CK28" s="113" t="s">
        <v>29</v>
      </c>
      <c r="CL28" s="113" t="s">
        <v>29</v>
      </c>
      <c r="CM28" s="113" t="s">
        <v>29</v>
      </c>
      <c r="CN28" s="113" t="s">
        <v>29</v>
      </c>
      <c r="CO28" s="113" t="s">
        <v>29</v>
      </c>
      <c r="CP28" s="113" t="s">
        <v>29</v>
      </c>
      <c r="CQ28" s="113" t="s">
        <v>29</v>
      </c>
      <c r="CR28" s="113" t="s">
        <v>29</v>
      </c>
      <c r="CS28" s="113" t="s">
        <v>29</v>
      </c>
      <c r="CT28" s="113" t="s">
        <v>29</v>
      </c>
      <c r="CU28" s="113"/>
      <c r="CV28" s="113" t="s">
        <v>29</v>
      </c>
      <c r="CW28" s="113" t="s">
        <v>29</v>
      </c>
      <c r="CX28" s="113" t="s">
        <v>29</v>
      </c>
      <c r="CY28" s="113" t="s">
        <v>29</v>
      </c>
      <c r="CZ28" s="113" t="s">
        <v>29</v>
      </c>
      <c r="DA28" s="113" t="s">
        <v>29</v>
      </c>
      <c r="DB28" s="113" t="s">
        <v>29</v>
      </c>
      <c r="DC28" s="113"/>
      <c r="DD28" s="113" t="s">
        <v>29</v>
      </c>
      <c r="DE28" s="113" t="s">
        <v>29</v>
      </c>
      <c r="DF28" s="113" t="s">
        <v>29</v>
      </c>
      <c r="DG28" s="113" t="s">
        <v>29</v>
      </c>
      <c r="DH28" s="113" t="s">
        <v>29</v>
      </c>
      <c r="DI28" s="113" t="s">
        <v>29</v>
      </c>
      <c r="DJ28" s="220">
        <v>0</v>
      </c>
      <c r="DK28" s="220">
        <v>0</v>
      </c>
      <c r="DL28" s="220">
        <v>0</v>
      </c>
      <c r="DM28" s="113" t="s">
        <v>29</v>
      </c>
      <c r="DN28" s="113" t="s">
        <v>29</v>
      </c>
      <c r="DO28" s="113" t="s">
        <v>29</v>
      </c>
      <c r="DP28" s="113" t="s">
        <v>29</v>
      </c>
      <c r="DQ28" s="113" t="s">
        <v>29</v>
      </c>
      <c r="DR28" s="208">
        <v>0</v>
      </c>
      <c r="DS28" s="208"/>
      <c r="DT28" s="208"/>
      <c r="DU28" s="220">
        <v>0</v>
      </c>
      <c r="DV28" s="220">
        <v>0</v>
      </c>
      <c r="DW28" s="220">
        <v>0</v>
      </c>
      <c r="DX28" s="220">
        <v>0</v>
      </c>
      <c r="DY28" s="220">
        <v>0</v>
      </c>
      <c r="DZ28" s="220">
        <v>0</v>
      </c>
      <c r="EA28" s="220">
        <v>0</v>
      </c>
      <c r="EB28" s="220">
        <v>0</v>
      </c>
      <c r="EC28" s="220">
        <v>0</v>
      </c>
      <c r="ED28" s="220">
        <v>0</v>
      </c>
      <c r="EE28" s="220">
        <v>0</v>
      </c>
      <c r="EF28" s="220">
        <v>0</v>
      </c>
      <c r="EG28" s="220">
        <v>0</v>
      </c>
      <c r="EH28" s="220">
        <v>0</v>
      </c>
      <c r="EI28" s="220">
        <v>0</v>
      </c>
      <c r="EJ28" s="220">
        <v>0</v>
      </c>
      <c r="EK28" s="220">
        <v>0</v>
      </c>
      <c r="EL28" s="220">
        <v>0</v>
      </c>
      <c r="EM28" s="220">
        <v>0</v>
      </c>
      <c r="EN28" s="220">
        <v>0</v>
      </c>
      <c r="EO28" s="220">
        <v>0</v>
      </c>
      <c r="EP28" s="220">
        <v>0</v>
      </c>
      <c r="EQ28" s="108">
        <f>EQ30+EQ32</f>
        <v>1246.2</v>
      </c>
      <c r="ER28" s="108">
        <f>ER30+ER32</f>
        <v>323.7</v>
      </c>
      <c r="ES28" s="108">
        <f>ES30+ES32</f>
        <v>571.1</v>
      </c>
      <c r="ET28" s="108">
        <f>ET30+ET32</f>
        <v>887.3</v>
      </c>
      <c r="EU28" s="108">
        <f>EU30+EU32</f>
        <v>4372.299999999999</v>
      </c>
      <c r="EV28" s="108">
        <f aca="true" t="shared" si="27" ref="EV28:FG28">EV30+EV32</f>
        <v>248.35</v>
      </c>
      <c r="EW28" s="108">
        <f t="shared" si="27"/>
        <v>574.3</v>
      </c>
      <c r="EX28" s="108">
        <f t="shared" si="27"/>
        <v>417.8</v>
      </c>
      <c r="EY28" s="108">
        <f t="shared" si="27"/>
        <v>1386.3</v>
      </c>
      <c r="EZ28" s="108">
        <f t="shared" si="27"/>
        <v>317</v>
      </c>
      <c r="FA28" s="108">
        <f t="shared" si="27"/>
        <v>777.15</v>
      </c>
      <c r="FB28" s="108">
        <f t="shared" si="27"/>
        <v>441.05</v>
      </c>
      <c r="FC28" s="108">
        <f t="shared" si="27"/>
        <v>258.85</v>
      </c>
      <c r="FD28" s="108">
        <f t="shared" si="27"/>
        <v>682.607</v>
      </c>
      <c r="FE28" s="108">
        <f t="shared" si="27"/>
        <v>483.63</v>
      </c>
      <c r="FF28" s="108">
        <f t="shared" si="27"/>
        <v>0</v>
      </c>
      <c r="FG28" s="108">
        <f t="shared" si="27"/>
        <v>572.1500000000001</v>
      </c>
      <c r="FH28" s="108">
        <f aca="true" t="shared" si="28" ref="FH28:FP28">SUM(FH30:FH32)</f>
        <v>4161.950000000001</v>
      </c>
      <c r="FI28" s="108">
        <f t="shared" si="28"/>
        <v>57.25</v>
      </c>
      <c r="FJ28" s="108">
        <f t="shared" si="28"/>
        <v>0</v>
      </c>
      <c r="FK28" s="108">
        <f t="shared" si="28"/>
        <v>936.9000000000001</v>
      </c>
      <c r="FL28" s="108">
        <f t="shared" si="28"/>
        <v>329.8</v>
      </c>
      <c r="FM28" s="108">
        <f t="shared" si="28"/>
        <v>789.8499999999999</v>
      </c>
      <c r="FN28" s="108">
        <f t="shared" si="28"/>
        <v>0</v>
      </c>
      <c r="FO28" s="108">
        <f t="shared" si="28"/>
        <v>780.25</v>
      </c>
      <c r="FP28" s="108">
        <f t="shared" si="28"/>
        <v>2894.05</v>
      </c>
      <c r="FQ28" s="15"/>
      <c r="FR28" s="15"/>
      <c r="FS28" s="13"/>
      <c r="FT28" s="13"/>
      <c r="FU28" s="13"/>
      <c r="FV28" s="13"/>
      <c r="FW28" s="12"/>
      <c r="FX28" s="14"/>
    </row>
    <row r="29" spans="1:180" ht="15.75">
      <c r="A29" s="63"/>
      <c r="B29" s="41"/>
      <c r="C29" s="41"/>
      <c r="D29" s="41"/>
      <c r="E29" s="90"/>
      <c r="F29" s="90"/>
      <c r="G29" s="90"/>
      <c r="H29" s="90"/>
      <c r="I29" s="90"/>
      <c r="J29" s="90"/>
      <c r="K29" s="90"/>
      <c r="L29" s="90"/>
      <c r="M29" s="125" t="s">
        <v>27</v>
      </c>
      <c r="N29" s="109" t="s">
        <v>27</v>
      </c>
      <c r="O29" s="110" t="s">
        <v>27</v>
      </c>
      <c r="P29" s="114"/>
      <c r="Q29" s="105"/>
      <c r="R29" s="105"/>
      <c r="S29" s="104"/>
      <c r="T29" s="104"/>
      <c r="U29" s="77"/>
      <c r="V29" s="77"/>
      <c r="W29" s="105"/>
      <c r="X29" s="105"/>
      <c r="Y29" s="106"/>
      <c r="Z29" s="105"/>
      <c r="AA29" s="105"/>
      <c r="AB29" s="105"/>
      <c r="AC29" s="106"/>
      <c r="AD29" s="105"/>
      <c r="AE29" s="106"/>
      <c r="AF29" s="105"/>
      <c r="AG29" s="105"/>
      <c r="AH29" s="106"/>
      <c r="AI29" s="106"/>
      <c r="AJ29" s="106"/>
      <c r="AK29" s="106"/>
      <c r="AL29" s="106"/>
      <c r="AM29" s="106"/>
      <c r="AN29" s="117"/>
      <c r="AO29" s="107"/>
      <c r="AP29" s="77"/>
      <c r="AQ29" s="107"/>
      <c r="AR29" s="117"/>
      <c r="AS29" s="77"/>
      <c r="AT29" s="77"/>
      <c r="AU29" s="105"/>
      <c r="AV29" s="77"/>
      <c r="AW29" s="77"/>
      <c r="AX29" s="107"/>
      <c r="AY29" s="105"/>
      <c r="AZ29" s="117"/>
      <c r="BA29" s="113"/>
      <c r="BB29" s="113"/>
      <c r="BC29" s="113"/>
      <c r="BD29" s="113"/>
      <c r="BE29" s="113"/>
      <c r="BF29" s="113"/>
      <c r="BG29" s="107"/>
      <c r="BH29" s="107"/>
      <c r="BI29" s="113"/>
      <c r="BJ29" s="107"/>
      <c r="BK29" s="77"/>
      <c r="BL29" s="77"/>
      <c r="BM29" s="113"/>
      <c r="BN29" s="113"/>
      <c r="BO29" s="77"/>
      <c r="BP29" s="119"/>
      <c r="BQ29" s="77"/>
      <c r="BR29" s="77"/>
      <c r="BS29" s="77"/>
      <c r="BT29" s="105"/>
      <c r="BU29" s="107"/>
      <c r="BV29" s="77"/>
      <c r="BW29" s="77"/>
      <c r="BX29" s="107"/>
      <c r="BY29" s="107"/>
      <c r="BZ29" s="107"/>
      <c r="CA29" s="113"/>
      <c r="CB29" s="117"/>
      <c r="CC29" s="117"/>
      <c r="CD29" s="117"/>
      <c r="CE29" s="117"/>
      <c r="CF29" s="117"/>
      <c r="CG29" s="117"/>
      <c r="CH29" s="107"/>
      <c r="CI29" s="113"/>
      <c r="CJ29" s="113" t="s">
        <v>29</v>
      </c>
      <c r="CK29" s="113"/>
      <c r="CL29" s="113" t="s">
        <v>29</v>
      </c>
      <c r="CM29" s="113" t="s">
        <v>29</v>
      </c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08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08"/>
      <c r="EP29" s="220"/>
      <c r="EQ29" s="220"/>
      <c r="ER29" s="220"/>
      <c r="ES29" s="220"/>
      <c r="ET29" s="220"/>
      <c r="EU29" s="113"/>
      <c r="EV29" s="113"/>
      <c r="EW29" s="113"/>
      <c r="EX29" s="117"/>
      <c r="EY29" s="117"/>
      <c r="EZ29" s="117"/>
      <c r="FA29" s="117"/>
      <c r="FB29" s="117"/>
      <c r="FC29" s="117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3"/>
      <c r="FR29" s="13"/>
      <c r="FS29" s="15"/>
      <c r="FT29" s="12"/>
      <c r="FU29" s="12"/>
      <c r="FV29" s="12"/>
      <c r="FW29" s="12"/>
      <c r="FX29" s="12"/>
    </row>
    <row r="30" spans="1:180" ht="15.75">
      <c r="A30" s="103" t="s">
        <v>41</v>
      </c>
      <c r="B30" s="41"/>
      <c r="C30" s="41"/>
      <c r="D30" s="41"/>
      <c r="E30" s="90">
        <v>1900</v>
      </c>
      <c r="F30" s="90">
        <v>1113</v>
      </c>
      <c r="G30" s="90">
        <v>5028</v>
      </c>
      <c r="H30" s="90">
        <v>4263</v>
      </c>
      <c r="I30" s="90">
        <v>5032</v>
      </c>
      <c r="J30" s="90">
        <v>13435</v>
      </c>
      <c r="K30" s="90">
        <v>18946</v>
      </c>
      <c r="L30" s="90">
        <v>13326</v>
      </c>
      <c r="M30" s="90">
        <v>10301</v>
      </c>
      <c r="N30" s="104">
        <v>5484</v>
      </c>
      <c r="O30" s="105">
        <v>2734</v>
      </c>
      <c r="P30" s="113" t="s">
        <v>80</v>
      </c>
      <c r="Q30" s="105">
        <v>8913</v>
      </c>
      <c r="R30" s="105">
        <v>5394.343</v>
      </c>
      <c r="S30" s="104">
        <v>401</v>
      </c>
      <c r="T30" s="104">
        <v>315</v>
      </c>
      <c r="U30" s="77">
        <v>218</v>
      </c>
      <c r="V30" s="77">
        <v>892</v>
      </c>
      <c r="W30" s="105">
        <v>644</v>
      </c>
      <c r="X30" s="119" t="s">
        <v>29</v>
      </c>
      <c r="Y30" s="106">
        <v>646</v>
      </c>
      <c r="Z30" s="105">
        <v>599</v>
      </c>
      <c r="AA30" s="105">
        <v>928</v>
      </c>
      <c r="AB30" s="105">
        <v>451</v>
      </c>
      <c r="AC30" s="115" t="s">
        <v>80</v>
      </c>
      <c r="AD30" s="105">
        <v>300.343</v>
      </c>
      <c r="AE30" s="106">
        <f>SUM(S30:AD30)</f>
        <v>5394.343</v>
      </c>
      <c r="AF30" s="105">
        <v>219.091</v>
      </c>
      <c r="AG30" s="105">
        <v>4230</v>
      </c>
      <c r="AH30" s="106">
        <v>7873</v>
      </c>
      <c r="AI30" s="106">
        <v>4734</v>
      </c>
      <c r="AJ30" s="106">
        <v>661</v>
      </c>
      <c r="AK30" s="106">
        <v>312</v>
      </c>
      <c r="AL30" s="113" t="s">
        <v>29</v>
      </c>
      <c r="AM30" s="113" t="s">
        <v>29</v>
      </c>
      <c r="AN30" s="113" t="s">
        <v>29</v>
      </c>
      <c r="AO30" s="113" t="s">
        <v>29</v>
      </c>
      <c r="AP30" s="113" t="s">
        <v>29</v>
      </c>
      <c r="AQ30" s="113" t="s">
        <v>29</v>
      </c>
      <c r="AR30" s="113" t="s">
        <v>29</v>
      </c>
      <c r="AS30" s="113" t="s">
        <v>29</v>
      </c>
      <c r="AT30" s="113" t="s">
        <v>29</v>
      </c>
      <c r="AU30" s="113" t="s">
        <v>29</v>
      </c>
      <c r="AV30" s="113" t="s">
        <v>29</v>
      </c>
      <c r="AW30" s="113" t="s">
        <v>29</v>
      </c>
      <c r="AX30" s="113" t="s">
        <v>29</v>
      </c>
      <c r="AY30" s="113" t="s">
        <v>29</v>
      </c>
      <c r="AZ30" s="113" t="s">
        <v>29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v>0</v>
      </c>
      <c r="BG30" s="107">
        <v>0</v>
      </c>
      <c r="BH30" s="107">
        <v>1586.8069999999998</v>
      </c>
      <c r="BI30" s="113" t="s">
        <v>29</v>
      </c>
      <c r="BJ30" s="113" t="s">
        <v>29</v>
      </c>
      <c r="BK30" s="113" t="s">
        <v>29</v>
      </c>
      <c r="BL30" s="113" t="s">
        <v>29</v>
      </c>
      <c r="BM30" s="113" t="s">
        <v>29</v>
      </c>
      <c r="BN30" s="113" t="s">
        <v>29</v>
      </c>
      <c r="BO30" s="113" t="s">
        <v>29</v>
      </c>
      <c r="BP30" s="113" t="s">
        <v>29</v>
      </c>
      <c r="BQ30" s="113" t="s">
        <v>29</v>
      </c>
      <c r="BR30" s="113" t="s">
        <v>29</v>
      </c>
      <c r="BS30" s="113" t="s">
        <v>29</v>
      </c>
      <c r="BT30" s="113" t="s">
        <v>29</v>
      </c>
      <c r="BU30" s="113" t="s">
        <v>29</v>
      </c>
      <c r="BV30" s="111">
        <v>0</v>
      </c>
      <c r="BW30" s="111" t="s">
        <v>29</v>
      </c>
      <c r="BX30" s="111" t="s">
        <v>29</v>
      </c>
      <c r="BY30" s="111" t="s">
        <v>29</v>
      </c>
      <c r="BZ30" s="111" t="s">
        <v>29</v>
      </c>
      <c r="CA30" s="111" t="s">
        <v>29</v>
      </c>
      <c r="CB30" s="111" t="s">
        <v>29</v>
      </c>
      <c r="CC30" s="111" t="s">
        <v>29</v>
      </c>
      <c r="CD30" s="111" t="s">
        <v>29</v>
      </c>
      <c r="CE30" s="111" t="s">
        <v>29</v>
      </c>
      <c r="CF30" s="111" t="s">
        <v>29</v>
      </c>
      <c r="CG30" s="111" t="s">
        <v>29</v>
      </c>
      <c r="CH30" s="111" t="s">
        <v>29</v>
      </c>
      <c r="CI30" s="111" t="s">
        <v>29</v>
      </c>
      <c r="CJ30" s="113" t="s">
        <v>29</v>
      </c>
      <c r="CK30" s="111" t="s">
        <v>29</v>
      </c>
      <c r="CL30" s="113" t="s">
        <v>29</v>
      </c>
      <c r="CM30" s="113" t="s">
        <v>29</v>
      </c>
      <c r="CN30" s="113" t="s">
        <v>29</v>
      </c>
      <c r="CO30" s="113" t="s">
        <v>29</v>
      </c>
      <c r="CP30" s="113" t="s">
        <v>29</v>
      </c>
      <c r="CQ30" s="113" t="s">
        <v>29</v>
      </c>
      <c r="CR30" s="113" t="s">
        <v>29</v>
      </c>
      <c r="CS30" s="113" t="s">
        <v>29</v>
      </c>
      <c r="CT30" s="113" t="s">
        <v>29</v>
      </c>
      <c r="CU30" s="113"/>
      <c r="CV30" s="113" t="s">
        <v>29</v>
      </c>
      <c r="CW30" s="113" t="s">
        <v>29</v>
      </c>
      <c r="CX30" s="113" t="s">
        <v>29</v>
      </c>
      <c r="CY30" s="113" t="s">
        <v>29</v>
      </c>
      <c r="CZ30" s="113" t="s">
        <v>29</v>
      </c>
      <c r="DA30" s="113" t="s">
        <v>29</v>
      </c>
      <c r="DB30" s="113" t="s">
        <v>29</v>
      </c>
      <c r="DC30" s="113"/>
      <c r="DD30" s="113" t="s">
        <v>29</v>
      </c>
      <c r="DE30" s="113" t="s">
        <v>29</v>
      </c>
      <c r="DF30" s="113" t="s">
        <v>29</v>
      </c>
      <c r="DG30" s="113" t="s">
        <v>29</v>
      </c>
      <c r="DH30" s="113" t="s">
        <v>29</v>
      </c>
      <c r="DI30" s="113" t="s">
        <v>29</v>
      </c>
      <c r="DJ30" s="220">
        <v>0</v>
      </c>
      <c r="DK30" s="220">
        <v>0</v>
      </c>
      <c r="DL30" s="220">
        <v>0</v>
      </c>
      <c r="DM30" s="113" t="s">
        <v>29</v>
      </c>
      <c r="DN30" s="113" t="s">
        <v>29</v>
      </c>
      <c r="DO30" s="113" t="s">
        <v>29</v>
      </c>
      <c r="DP30" s="113" t="s">
        <v>29</v>
      </c>
      <c r="DQ30" s="113" t="s">
        <v>29</v>
      </c>
      <c r="DR30" s="208">
        <v>0</v>
      </c>
      <c r="DS30" s="208"/>
      <c r="DT30" s="208" t="s">
        <v>29</v>
      </c>
      <c r="DU30" s="220">
        <v>0</v>
      </c>
      <c r="DV30" s="113">
        <v>0</v>
      </c>
      <c r="DW30" s="220">
        <v>0</v>
      </c>
      <c r="DX30" s="220">
        <v>0</v>
      </c>
      <c r="DY30" s="220">
        <v>0</v>
      </c>
      <c r="DZ30" s="220">
        <v>0</v>
      </c>
      <c r="EA30" s="220">
        <v>0</v>
      </c>
      <c r="EB30" s="220" t="s">
        <v>29</v>
      </c>
      <c r="EC30" s="220">
        <v>0</v>
      </c>
      <c r="ED30" s="220">
        <v>0</v>
      </c>
      <c r="EE30" s="220">
        <v>0</v>
      </c>
      <c r="EF30" s="220">
        <v>0</v>
      </c>
      <c r="EG30" s="220">
        <v>0</v>
      </c>
      <c r="EH30" s="220">
        <v>0</v>
      </c>
      <c r="EI30" s="220">
        <v>0</v>
      </c>
      <c r="EJ30" s="220">
        <v>0</v>
      </c>
      <c r="EK30" s="220">
        <v>0</v>
      </c>
      <c r="EL30" s="220">
        <v>0</v>
      </c>
      <c r="EM30" s="220">
        <v>0</v>
      </c>
      <c r="EN30" s="220">
        <v>0</v>
      </c>
      <c r="EO30" s="220">
        <v>0</v>
      </c>
      <c r="EP30" s="220">
        <v>0</v>
      </c>
      <c r="EQ30" s="220">
        <v>0</v>
      </c>
      <c r="ER30" s="220">
        <v>0</v>
      </c>
      <c r="ES30" s="220">
        <v>0</v>
      </c>
      <c r="ET30" s="220">
        <v>0</v>
      </c>
      <c r="EU30" s="220">
        <v>0</v>
      </c>
      <c r="EV30" s="220">
        <v>0</v>
      </c>
      <c r="EW30" s="220">
        <v>0</v>
      </c>
      <c r="EX30" s="108">
        <v>319.25</v>
      </c>
      <c r="EY30" s="220">
        <v>0</v>
      </c>
      <c r="EZ30" s="248">
        <v>0</v>
      </c>
      <c r="FA30" s="248">
        <v>217.75</v>
      </c>
      <c r="FB30" s="248">
        <v>0</v>
      </c>
      <c r="FC30" s="248">
        <v>0</v>
      </c>
      <c r="FD30" s="108">
        <v>617.957</v>
      </c>
      <c r="FE30" s="248">
        <v>0</v>
      </c>
      <c r="FF30" s="220">
        <v>0</v>
      </c>
      <c r="FG30" s="108">
        <v>431.85</v>
      </c>
      <c r="FH30" s="108">
        <f>SUM(EV30:FB30)</f>
        <v>537</v>
      </c>
      <c r="FI30" s="108">
        <v>57.25</v>
      </c>
      <c r="FJ30" s="220">
        <v>0</v>
      </c>
      <c r="FK30" s="108">
        <v>441.85</v>
      </c>
      <c r="FL30" s="108"/>
      <c r="FM30" s="108">
        <v>465.7</v>
      </c>
      <c r="FN30" s="248">
        <v>0</v>
      </c>
      <c r="FO30" s="248">
        <v>0</v>
      </c>
      <c r="FP30" s="108">
        <f>SUM(FI30:FO30)</f>
        <v>964.8</v>
      </c>
      <c r="FQ30" s="15"/>
      <c r="FR30" s="15"/>
      <c r="FS30" s="20"/>
      <c r="FT30" s="13"/>
      <c r="FU30" s="13"/>
      <c r="FV30" s="13"/>
      <c r="FW30" s="12"/>
      <c r="FX30" s="14"/>
    </row>
    <row r="31" spans="1:180" ht="15.75" customHeight="1" hidden="1">
      <c r="A31" s="103" t="s">
        <v>42</v>
      </c>
      <c r="B31" s="41"/>
      <c r="C31" s="41"/>
      <c r="D31" s="41"/>
      <c r="E31" s="90">
        <v>726</v>
      </c>
      <c r="F31" s="90">
        <v>527</v>
      </c>
      <c r="G31" s="90">
        <v>291</v>
      </c>
      <c r="H31" s="90">
        <v>647</v>
      </c>
      <c r="I31" s="90">
        <v>2030</v>
      </c>
      <c r="J31" s="90">
        <v>7553</v>
      </c>
      <c r="K31" s="90">
        <v>7711</v>
      </c>
      <c r="L31" s="90">
        <v>5448</v>
      </c>
      <c r="M31" s="90">
        <v>5922</v>
      </c>
      <c r="N31" s="104">
        <v>2631</v>
      </c>
      <c r="O31" s="113" t="s">
        <v>80</v>
      </c>
      <c r="P31" s="113" t="s">
        <v>80</v>
      </c>
      <c r="Q31" s="113">
        <v>372</v>
      </c>
      <c r="R31" s="105">
        <v>843</v>
      </c>
      <c r="S31" s="104">
        <v>106</v>
      </c>
      <c r="T31" s="114" t="s">
        <v>29</v>
      </c>
      <c r="U31" s="113">
        <v>204</v>
      </c>
      <c r="V31" s="77">
        <v>212</v>
      </c>
      <c r="W31" s="105">
        <v>106</v>
      </c>
      <c r="X31" s="105">
        <v>107</v>
      </c>
      <c r="Y31" s="106">
        <v>108</v>
      </c>
      <c r="Z31" s="119" t="s">
        <v>29</v>
      </c>
      <c r="AA31" s="119" t="s">
        <v>29</v>
      </c>
      <c r="AB31" s="115" t="s">
        <v>80</v>
      </c>
      <c r="AC31" s="115" t="s">
        <v>80</v>
      </c>
      <c r="AD31" s="116" t="s">
        <v>29</v>
      </c>
      <c r="AE31" s="106">
        <f>SUM(S31:AD31)</f>
        <v>843</v>
      </c>
      <c r="AF31" s="105">
        <v>88</v>
      </c>
      <c r="AG31" s="113" t="s">
        <v>29</v>
      </c>
      <c r="AH31" s="117" t="s">
        <v>29</v>
      </c>
      <c r="AI31" s="117" t="s">
        <v>29</v>
      </c>
      <c r="AJ31" s="117" t="s">
        <v>29</v>
      </c>
      <c r="AK31" s="113" t="s">
        <v>29</v>
      </c>
      <c r="AL31" s="113" t="s">
        <v>29</v>
      </c>
      <c r="AM31" s="113" t="s">
        <v>29</v>
      </c>
      <c r="AN31" s="113" t="s">
        <v>29</v>
      </c>
      <c r="AO31" s="113" t="s">
        <v>29</v>
      </c>
      <c r="AP31" s="113" t="s">
        <v>29</v>
      </c>
      <c r="AQ31" s="113" t="s">
        <v>29</v>
      </c>
      <c r="AR31" s="113" t="s">
        <v>29</v>
      </c>
      <c r="AS31" s="113" t="s">
        <v>29</v>
      </c>
      <c r="AT31" s="113" t="s">
        <v>29</v>
      </c>
      <c r="AU31" s="113" t="s">
        <v>29</v>
      </c>
      <c r="AV31" s="113" t="s">
        <v>29</v>
      </c>
      <c r="AW31" s="113" t="s">
        <v>29</v>
      </c>
      <c r="AX31" s="113" t="s">
        <v>29</v>
      </c>
      <c r="AY31" s="113" t="s">
        <v>29</v>
      </c>
      <c r="AZ31" s="113" t="s">
        <v>29</v>
      </c>
      <c r="BA31" s="113" t="s">
        <v>29</v>
      </c>
      <c r="BB31" s="113">
        <v>0</v>
      </c>
      <c r="BC31" s="113" t="s">
        <v>29</v>
      </c>
      <c r="BD31" s="113" t="s">
        <v>29</v>
      </c>
      <c r="BE31" s="113" t="s">
        <v>29</v>
      </c>
      <c r="BF31" s="113" t="s">
        <v>29</v>
      </c>
      <c r="BG31" s="107"/>
      <c r="BH31" s="107"/>
      <c r="BI31" s="113" t="s">
        <v>29</v>
      </c>
      <c r="BJ31" s="113" t="s">
        <v>29</v>
      </c>
      <c r="BK31" s="113" t="s">
        <v>29</v>
      </c>
      <c r="BL31" s="113" t="s">
        <v>29</v>
      </c>
      <c r="BM31" s="113" t="s">
        <v>29</v>
      </c>
      <c r="BN31" s="113" t="s">
        <v>29</v>
      </c>
      <c r="BO31" s="113" t="s">
        <v>29</v>
      </c>
      <c r="BP31" s="113" t="s">
        <v>29</v>
      </c>
      <c r="BQ31" s="113" t="s">
        <v>29</v>
      </c>
      <c r="BR31" s="113" t="s">
        <v>29</v>
      </c>
      <c r="BS31" s="113" t="s">
        <v>29</v>
      </c>
      <c r="BT31" s="113" t="s">
        <v>29</v>
      </c>
      <c r="BU31" s="107">
        <f>SUM(BI31:BS31)</f>
        <v>0</v>
      </c>
      <c r="BV31" s="113" t="s">
        <v>29</v>
      </c>
      <c r="BW31" s="113" t="s">
        <v>29</v>
      </c>
      <c r="BX31" s="113"/>
      <c r="BY31" s="113" t="s">
        <v>29</v>
      </c>
      <c r="BZ31" s="113" t="s">
        <v>29</v>
      </c>
      <c r="CA31" s="113" t="s">
        <v>29</v>
      </c>
      <c r="CB31" s="113"/>
      <c r="CC31" s="113"/>
      <c r="CD31" s="113"/>
      <c r="CE31" s="117"/>
      <c r="CF31" s="117"/>
      <c r="CG31" s="117"/>
      <c r="CH31" s="107">
        <f>SUM(BV31:BX31)</f>
        <v>0</v>
      </c>
      <c r="CI31" s="113"/>
      <c r="CJ31" s="113"/>
      <c r="CK31" s="113"/>
      <c r="CL31" s="113" t="s">
        <v>29</v>
      </c>
      <c r="CM31" s="113" t="s">
        <v>29</v>
      </c>
      <c r="CN31" s="113" t="s">
        <v>29</v>
      </c>
      <c r="CO31" s="113" t="s">
        <v>29</v>
      </c>
      <c r="CP31" s="113" t="s">
        <v>29</v>
      </c>
      <c r="CQ31" s="113" t="s">
        <v>29</v>
      </c>
      <c r="CR31" s="113" t="s">
        <v>29</v>
      </c>
      <c r="CS31" s="113" t="s">
        <v>29</v>
      </c>
      <c r="CT31" s="113" t="s">
        <v>29</v>
      </c>
      <c r="CU31" s="113"/>
      <c r="CV31" s="113" t="s">
        <v>29</v>
      </c>
      <c r="CW31" s="113" t="s">
        <v>29</v>
      </c>
      <c r="CX31" s="113" t="s">
        <v>29</v>
      </c>
      <c r="CY31" s="113" t="s">
        <v>29</v>
      </c>
      <c r="CZ31" s="113" t="s">
        <v>29</v>
      </c>
      <c r="DA31" s="113" t="s">
        <v>29</v>
      </c>
      <c r="DB31" s="113" t="s">
        <v>29</v>
      </c>
      <c r="DC31" s="113"/>
      <c r="DD31" s="113" t="s">
        <v>29</v>
      </c>
      <c r="DE31" s="113" t="s">
        <v>29</v>
      </c>
      <c r="DF31" s="113" t="s">
        <v>29</v>
      </c>
      <c r="DG31" s="113" t="s">
        <v>29</v>
      </c>
      <c r="DH31" s="113" t="s">
        <v>29</v>
      </c>
      <c r="DI31" s="113" t="s">
        <v>29</v>
      </c>
      <c r="DJ31" s="113" t="s">
        <v>29</v>
      </c>
      <c r="DK31" s="113" t="s">
        <v>29</v>
      </c>
      <c r="DL31" s="113" t="s">
        <v>29</v>
      </c>
      <c r="DM31" s="113" t="s">
        <v>29</v>
      </c>
      <c r="DN31" s="113" t="s">
        <v>29</v>
      </c>
      <c r="DO31" s="113" t="s">
        <v>29</v>
      </c>
      <c r="DP31" s="113" t="s">
        <v>29</v>
      </c>
      <c r="DQ31" s="113" t="s">
        <v>29</v>
      </c>
      <c r="DR31" s="113"/>
      <c r="DS31" s="113"/>
      <c r="DT31" s="113"/>
      <c r="DU31" s="113" t="s">
        <v>29</v>
      </c>
      <c r="DV31" s="113" t="s">
        <v>29</v>
      </c>
      <c r="DW31" s="113"/>
      <c r="DX31" s="113" t="s">
        <v>29</v>
      </c>
      <c r="DY31" s="108" t="s">
        <v>29</v>
      </c>
      <c r="DZ31" s="113" t="s">
        <v>29</v>
      </c>
      <c r="EA31" s="220">
        <v>0</v>
      </c>
      <c r="EB31" s="220" t="s">
        <v>29</v>
      </c>
      <c r="EC31" s="220"/>
      <c r="ED31" s="113" t="s">
        <v>29</v>
      </c>
      <c r="EE31" s="113" t="s">
        <v>29</v>
      </c>
      <c r="EF31" s="113"/>
      <c r="EG31" s="113"/>
      <c r="EH31" s="113" t="s">
        <v>29</v>
      </c>
      <c r="EI31" s="113"/>
      <c r="EJ31" s="113"/>
      <c r="EK31" s="113"/>
      <c r="EL31" s="113"/>
      <c r="EM31" s="113"/>
      <c r="EN31" s="113"/>
      <c r="EO31" s="108"/>
      <c r="EP31" s="108"/>
      <c r="EQ31" s="108"/>
      <c r="ER31" s="108"/>
      <c r="ES31" s="108"/>
      <c r="ET31" s="108"/>
      <c r="EU31" s="113"/>
      <c r="EV31" s="113"/>
      <c r="EW31" s="113"/>
      <c r="EX31" s="117"/>
      <c r="EY31" s="117"/>
      <c r="EZ31" s="248">
        <v>0</v>
      </c>
      <c r="FA31" s="117"/>
      <c r="FB31" s="117"/>
      <c r="FC31" s="117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4"/>
      <c r="FR31" s="14"/>
      <c r="FS31" s="15"/>
      <c r="FT31" s="16"/>
      <c r="FU31" s="14"/>
      <c r="FV31" s="14"/>
      <c r="FW31" s="14"/>
      <c r="FX31" s="14"/>
    </row>
    <row r="32" spans="1:180" ht="15.75">
      <c r="A32" s="103" t="s">
        <v>43</v>
      </c>
      <c r="B32" s="41"/>
      <c r="C32" s="41"/>
      <c r="D32" s="41"/>
      <c r="E32" s="90">
        <v>2617</v>
      </c>
      <c r="F32" s="90">
        <v>1626</v>
      </c>
      <c r="G32" s="90">
        <v>4235</v>
      </c>
      <c r="H32" s="90">
        <v>4712</v>
      </c>
      <c r="I32" s="90">
        <v>5193</v>
      </c>
      <c r="J32" s="90">
        <v>15719</v>
      </c>
      <c r="K32" s="90">
        <v>20317</v>
      </c>
      <c r="L32" s="90">
        <v>15689</v>
      </c>
      <c r="M32" s="90">
        <v>11605</v>
      </c>
      <c r="N32" s="104">
        <v>8741</v>
      </c>
      <c r="O32" s="105">
        <v>5385</v>
      </c>
      <c r="P32" s="129">
        <v>2184</v>
      </c>
      <c r="Q32" s="105">
        <v>10955</v>
      </c>
      <c r="R32" s="105">
        <v>8793.134</v>
      </c>
      <c r="S32" s="104">
        <v>470</v>
      </c>
      <c r="T32" s="104">
        <v>1371</v>
      </c>
      <c r="U32" s="113">
        <v>1025</v>
      </c>
      <c r="V32" s="77">
        <v>1219</v>
      </c>
      <c r="W32" s="105">
        <v>1808</v>
      </c>
      <c r="X32" s="105">
        <v>803</v>
      </c>
      <c r="Y32" s="106">
        <v>114</v>
      </c>
      <c r="Z32" s="105">
        <v>687</v>
      </c>
      <c r="AA32" s="105">
        <v>343</v>
      </c>
      <c r="AB32" s="105">
        <v>607</v>
      </c>
      <c r="AC32" s="115" t="s">
        <v>80</v>
      </c>
      <c r="AD32" s="105">
        <v>346.134</v>
      </c>
      <c r="AE32" s="106">
        <f>SUM(S32:AD32)</f>
        <v>8793.134</v>
      </c>
      <c r="AF32" s="105">
        <v>1011.9639999999999</v>
      </c>
      <c r="AG32" s="105">
        <v>4356</v>
      </c>
      <c r="AH32" s="117">
        <v>5124</v>
      </c>
      <c r="AI32" s="117">
        <v>4366</v>
      </c>
      <c r="AJ32" s="117">
        <v>2153</v>
      </c>
      <c r="AK32" s="117">
        <v>3338</v>
      </c>
      <c r="AL32" s="117">
        <v>46.2</v>
      </c>
      <c r="AM32" s="117">
        <v>335.39</v>
      </c>
      <c r="AN32" s="113">
        <v>335.39</v>
      </c>
      <c r="AO32" s="113" t="s">
        <v>29</v>
      </c>
      <c r="AP32" s="113" t="s">
        <v>29</v>
      </c>
      <c r="AQ32" s="113" t="s">
        <v>29</v>
      </c>
      <c r="AR32" s="113" t="s">
        <v>29</v>
      </c>
      <c r="AS32" s="113" t="s">
        <v>29</v>
      </c>
      <c r="AT32" s="113" t="s">
        <v>29</v>
      </c>
      <c r="AU32" s="113" t="s">
        <v>29</v>
      </c>
      <c r="AV32" s="113" t="s">
        <v>29</v>
      </c>
      <c r="AW32" s="113" t="s">
        <v>29</v>
      </c>
      <c r="AX32" s="113" t="s">
        <v>29</v>
      </c>
      <c r="AY32" s="113" t="s">
        <v>29</v>
      </c>
      <c r="AZ32" s="77">
        <f>SUM(AN32:AY32)</f>
        <v>335.39</v>
      </c>
      <c r="BA32" s="220">
        <v>0</v>
      </c>
      <c r="BB32" s="220">
        <v>0</v>
      </c>
      <c r="BC32" s="220">
        <v>0</v>
      </c>
      <c r="BD32" s="220">
        <v>0</v>
      </c>
      <c r="BE32" s="220">
        <v>0</v>
      </c>
      <c r="BF32" s="220">
        <v>0</v>
      </c>
      <c r="BG32" s="107">
        <v>4372.299999999999</v>
      </c>
      <c r="BH32" s="107">
        <v>4572.38</v>
      </c>
      <c r="BI32" s="113" t="s">
        <v>29</v>
      </c>
      <c r="BJ32" s="113" t="s">
        <v>29</v>
      </c>
      <c r="BK32" s="113" t="s">
        <v>29</v>
      </c>
      <c r="BL32" s="113" t="s">
        <v>29</v>
      </c>
      <c r="BM32" s="113" t="s">
        <v>29</v>
      </c>
      <c r="BN32" s="113" t="s">
        <v>29</v>
      </c>
      <c r="BO32" s="113" t="s">
        <v>29</v>
      </c>
      <c r="BP32" s="113" t="s">
        <v>29</v>
      </c>
      <c r="BQ32" s="113" t="s">
        <v>29</v>
      </c>
      <c r="BR32" s="113" t="s">
        <v>29</v>
      </c>
      <c r="BS32" s="113" t="s">
        <v>29</v>
      </c>
      <c r="BT32" s="113" t="s">
        <v>29</v>
      </c>
      <c r="BU32" s="113" t="s">
        <v>29</v>
      </c>
      <c r="BV32" s="113" t="s">
        <v>29</v>
      </c>
      <c r="BW32" s="113" t="s">
        <v>29</v>
      </c>
      <c r="BX32" s="113" t="s">
        <v>29</v>
      </c>
      <c r="BY32" s="113" t="s">
        <v>29</v>
      </c>
      <c r="BZ32" s="113" t="s">
        <v>29</v>
      </c>
      <c r="CA32" s="113" t="s">
        <v>29</v>
      </c>
      <c r="CB32" s="113" t="s">
        <v>29</v>
      </c>
      <c r="CC32" s="113" t="s">
        <v>29</v>
      </c>
      <c r="CD32" s="113" t="s">
        <v>29</v>
      </c>
      <c r="CE32" s="113" t="s">
        <v>29</v>
      </c>
      <c r="CF32" s="113" t="s">
        <v>29</v>
      </c>
      <c r="CG32" s="113" t="s">
        <v>29</v>
      </c>
      <c r="CH32" s="113" t="s">
        <v>29</v>
      </c>
      <c r="CI32" s="113" t="s">
        <v>29</v>
      </c>
      <c r="CJ32" s="113" t="s">
        <v>29</v>
      </c>
      <c r="CK32" s="113" t="s">
        <v>29</v>
      </c>
      <c r="CL32" s="113" t="s">
        <v>29</v>
      </c>
      <c r="CM32" s="113" t="s">
        <v>29</v>
      </c>
      <c r="CN32" s="113" t="s">
        <v>29</v>
      </c>
      <c r="CO32" s="113" t="s">
        <v>29</v>
      </c>
      <c r="CP32" s="113" t="s">
        <v>29</v>
      </c>
      <c r="CQ32" s="113" t="s">
        <v>29</v>
      </c>
      <c r="CR32" s="113" t="s">
        <v>29</v>
      </c>
      <c r="CS32" s="113" t="s">
        <v>29</v>
      </c>
      <c r="CT32" s="113" t="s">
        <v>29</v>
      </c>
      <c r="CU32" s="113"/>
      <c r="CV32" s="113" t="s">
        <v>29</v>
      </c>
      <c r="CW32" s="113" t="s">
        <v>29</v>
      </c>
      <c r="CX32" s="113" t="s">
        <v>29</v>
      </c>
      <c r="CY32" s="113" t="s">
        <v>29</v>
      </c>
      <c r="CZ32" s="113" t="s">
        <v>29</v>
      </c>
      <c r="DA32" s="113" t="s">
        <v>29</v>
      </c>
      <c r="DB32" s="113" t="s">
        <v>29</v>
      </c>
      <c r="DC32" s="113"/>
      <c r="DD32" s="113" t="s">
        <v>29</v>
      </c>
      <c r="DE32" s="113" t="s">
        <v>29</v>
      </c>
      <c r="DF32" s="113" t="s">
        <v>29</v>
      </c>
      <c r="DG32" s="113" t="s">
        <v>29</v>
      </c>
      <c r="DH32" s="113" t="s">
        <v>29</v>
      </c>
      <c r="DI32" s="113" t="s">
        <v>29</v>
      </c>
      <c r="DJ32" s="220">
        <v>0</v>
      </c>
      <c r="DK32" s="220">
        <v>0</v>
      </c>
      <c r="DL32" s="220">
        <v>0</v>
      </c>
      <c r="DM32" s="113" t="s">
        <v>29</v>
      </c>
      <c r="DN32" s="113" t="s">
        <v>29</v>
      </c>
      <c r="DO32" s="113" t="s">
        <v>29</v>
      </c>
      <c r="DP32" s="113" t="s">
        <v>29</v>
      </c>
      <c r="DQ32" s="113" t="s">
        <v>29</v>
      </c>
      <c r="DR32" s="208">
        <v>0</v>
      </c>
      <c r="DS32" s="208"/>
      <c r="DT32" s="208" t="s">
        <v>29</v>
      </c>
      <c r="DU32" s="220">
        <v>0</v>
      </c>
      <c r="DV32" s="113">
        <v>0</v>
      </c>
      <c r="DW32" s="220">
        <v>0</v>
      </c>
      <c r="DX32" s="220">
        <v>0</v>
      </c>
      <c r="DY32" s="220">
        <v>0</v>
      </c>
      <c r="DZ32" s="220">
        <v>0</v>
      </c>
      <c r="EA32" s="220">
        <v>0</v>
      </c>
      <c r="EB32" s="220" t="s">
        <v>29</v>
      </c>
      <c r="EC32" s="220">
        <v>0</v>
      </c>
      <c r="ED32" s="220">
        <v>0</v>
      </c>
      <c r="EE32" s="220">
        <v>0</v>
      </c>
      <c r="EF32" s="220">
        <v>0</v>
      </c>
      <c r="EG32" s="220">
        <v>0</v>
      </c>
      <c r="EH32" s="220">
        <v>0</v>
      </c>
      <c r="EI32" s="220">
        <v>0</v>
      </c>
      <c r="EJ32" s="220">
        <v>0</v>
      </c>
      <c r="EK32" s="220">
        <v>861.3</v>
      </c>
      <c r="EL32" s="248"/>
      <c r="EM32" s="305">
        <v>126.95</v>
      </c>
      <c r="EN32" s="248">
        <v>101</v>
      </c>
      <c r="EO32" s="108">
        <v>254.75</v>
      </c>
      <c r="EP32" s="220">
        <v>0</v>
      </c>
      <c r="EQ32" s="108">
        <v>1246.2</v>
      </c>
      <c r="ER32" s="108">
        <v>323.7</v>
      </c>
      <c r="ES32" s="108">
        <v>571.1</v>
      </c>
      <c r="ET32" s="108">
        <v>887.3</v>
      </c>
      <c r="EU32" s="108">
        <f>SUM(EI32:ET32)</f>
        <v>4372.299999999999</v>
      </c>
      <c r="EV32" s="108">
        <v>248.35</v>
      </c>
      <c r="EW32" s="108">
        <v>574.3</v>
      </c>
      <c r="EX32" s="108">
        <v>98.55</v>
      </c>
      <c r="EY32" s="108">
        <v>1386.3</v>
      </c>
      <c r="EZ32" s="108">
        <v>317</v>
      </c>
      <c r="FA32" s="108">
        <v>559.4</v>
      </c>
      <c r="FB32" s="108">
        <v>441.05</v>
      </c>
      <c r="FC32" s="108">
        <v>258.85</v>
      </c>
      <c r="FD32" s="108">
        <v>64.65</v>
      </c>
      <c r="FE32" s="108">
        <v>483.63</v>
      </c>
      <c r="FF32" s="220">
        <v>0</v>
      </c>
      <c r="FG32" s="108">
        <v>140.3</v>
      </c>
      <c r="FH32" s="108">
        <f>SUM(EV32:FB32)</f>
        <v>3624.9500000000003</v>
      </c>
      <c r="FI32" s="220">
        <v>0</v>
      </c>
      <c r="FJ32" s="220">
        <v>0</v>
      </c>
      <c r="FK32" s="108">
        <v>495.05</v>
      </c>
      <c r="FL32" s="108">
        <v>329.8</v>
      </c>
      <c r="FM32" s="108">
        <v>324.15</v>
      </c>
      <c r="FN32" s="248">
        <v>0</v>
      </c>
      <c r="FO32" s="248">
        <v>780.25</v>
      </c>
      <c r="FP32" s="108">
        <f>SUM(FI32:FO32)</f>
        <v>1929.25</v>
      </c>
      <c r="FQ32" s="15"/>
      <c r="FR32" s="14"/>
      <c r="FS32" s="15"/>
      <c r="FT32" s="24"/>
      <c r="FU32" s="14"/>
      <c r="FV32" s="14"/>
      <c r="FW32" s="14"/>
      <c r="FX32" s="14"/>
    </row>
    <row r="33" spans="1:180" ht="15.75" customHeight="1" hidden="1">
      <c r="A33" s="103" t="s">
        <v>44</v>
      </c>
      <c r="B33" s="41"/>
      <c r="C33" s="41"/>
      <c r="D33" s="41"/>
      <c r="E33" s="90">
        <v>70</v>
      </c>
      <c r="F33" s="90">
        <v>68</v>
      </c>
      <c r="G33" s="90">
        <v>101</v>
      </c>
      <c r="H33" s="118" t="s">
        <v>29</v>
      </c>
      <c r="I33" s="90">
        <v>345</v>
      </c>
      <c r="J33" s="90">
        <v>840</v>
      </c>
      <c r="K33" s="90">
        <v>1062</v>
      </c>
      <c r="L33" s="90">
        <v>417</v>
      </c>
      <c r="M33" s="90">
        <v>1082</v>
      </c>
      <c r="N33" s="104">
        <v>697</v>
      </c>
      <c r="O33" s="113" t="s">
        <v>80</v>
      </c>
      <c r="P33" s="104">
        <v>1092</v>
      </c>
      <c r="Q33" s="105">
        <v>194</v>
      </c>
      <c r="R33" s="105">
        <v>136.3</v>
      </c>
      <c r="S33" s="114" t="s">
        <v>29</v>
      </c>
      <c r="T33" s="114" t="s">
        <v>29</v>
      </c>
      <c r="U33" s="115" t="s">
        <v>66</v>
      </c>
      <c r="V33" s="77">
        <v>36</v>
      </c>
      <c r="W33" s="105">
        <v>64</v>
      </c>
      <c r="X33" s="105">
        <v>3</v>
      </c>
      <c r="Y33" s="120" t="s">
        <v>29</v>
      </c>
      <c r="Z33" s="119" t="s">
        <v>29</v>
      </c>
      <c r="AA33" s="116">
        <v>28</v>
      </c>
      <c r="AB33" s="115" t="s">
        <v>80</v>
      </c>
      <c r="AC33" s="106">
        <v>1</v>
      </c>
      <c r="AD33" s="105">
        <v>4.3</v>
      </c>
      <c r="AE33" s="106">
        <f>SUM(S33:AD33)</f>
        <v>136.3</v>
      </c>
      <c r="AF33" s="105">
        <v>230.342</v>
      </c>
      <c r="AG33" s="105">
        <v>338</v>
      </c>
      <c r="AH33" s="106">
        <v>404</v>
      </c>
      <c r="AI33" s="106">
        <v>236</v>
      </c>
      <c r="AJ33" s="117" t="s">
        <v>29</v>
      </c>
      <c r="AK33" s="113" t="s">
        <v>29</v>
      </c>
      <c r="AL33" s="113" t="s">
        <v>29</v>
      </c>
      <c r="AM33" s="113" t="s">
        <v>29</v>
      </c>
      <c r="AN33" s="113" t="s">
        <v>29</v>
      </c>
      <c r="AO33" s="113" t="s">
        <v>29</v>
      </c>
      <c r="AP33" s="113" t="s">
        <v>29</v>
      </c>
      <c r="AQ33" s="113" t="s">
        <v>29</v>
      </c>
      <c r="AR33" s="113" t="s">
        <v>29</v>
      </c>
      <c r="AS33" s="113" t="s">
        <v>29</v>
      </c>
      <c r="AT33" s="113" t="s">
        <v>29</v>
      </c>
      <c r="AU33" s="113" t="s">
        <v>29</v>
      </c>
      <c r="AV33" s="113" t="s">
        <v>29</v>
      </c>
      <c r="AW33" s="113" t="s">
        <v>29</v>
      </c>
      <c r="AX33" s="113" t="s">
        <v>29</v>
      </c>
      <c r="AY33" s="113" t="s">
        <v>29</v>
      </c>
      <c r="AZ33" s="113" t="s">
        <v>29</v>
      </c>
      <c r="BA33" s="113" t="s">
        <v>29</v>
      </c>
      <c r="BB33" s="113">
        <v>0</v>
      </c>
      <c r="BC33" s="113"/>
      <c r="BD33" s="113"/>
      <c r="BE33" s="113"/>
      <c r="BF33" s="113"/>
      <c r="BG33" s="107"/>
      <c r="BH33" s="107"/>
      <c r="BI33" s="113" t="s">
        <v>29</v>
      </c>
      <c r="BJ33" s="113" t="s">
        <v>29</v>
      </c>
      <c r="BK33" s="113" t="s">
        <v>29</v>
      </c>
      <c r="BL33" s="113" t="s">
        <v>29</v>
      </c>
      <c r="BM33" s="113" t="s">
        <v>29</v>
      </c>
      <c r="BN33" s="113" t="s">
        <v>29</v>
      </c>
      <c r="BO33" s="113" t="s">
        <v>29</v>
      </c>
      <c r="BP33" s="113" t="s">
        <v>29</v>
      </c>
      <c r="BQ33" s="113" t="s">
        <v>29</v>
      </c>
      <c r="BR33" s="113" t="s">
        <v>29</v>
      </c>
      <c r="BS33" s="113" t="s">
        <v>29</v>
      </c>
      <c r="BT33" s="113" t="s">
        <v>29</v>
      </c>
      <c r="BU33" s="107">
        <f>SUM(BI33:BS33)</f>
        <v>0</v>
      </c>
      <c r="BV33" s="113" t="s">
        <v>29</v>
      </c>
      <c r="BW33" s="113" t="s">
        <v>29</v>
      </c>
      <c r="BX33" s="113"/>
      <c r="BY33" s="113" t="s">
        <v>29</v>
      </c>
      <c r="BZ33" s="117"/>
      <c r="CA33" s="117"/>
      <c r="CB33" s="117"/>
      <c r="CC33" s="117"/>
      <c r="CD33" s="117"/>
      <c r="CE33" s="117"/>
      <c r="CF33" s="117"/>
      <c r="CG33" s="117"/>
      <c r="CH33" s="107">
        <f>SUM(BV33:BX33)</f>
        <v>0</v>
      </c>
      <c r="CI33" s="117"/>
      <c r="CJ33" s="117"/>
      <c r="CK33" s="117"/>
      <c r="CL33" s="107" t="e">
        <f>AVERAGE(CI33:CK33)</f>
        <v>#DIV/0!</v>
      </c>
      <c r="CM33" s="107"/>
      <c r="CN33" s="107"/>
      <c r="CO33" s="107"/>
      <c r="CP33" s="107"/>
      <c r="CQ33" s="107"/>
      <c r="CR33" s="107"/>
      <c r="CS33" s="107"/>
      <c r="CT33" s="107"/>
      <c r="CU33" s="107"/>
      <c r="CV33" s="108"/>
      <c r="CW33" s="107"/>
      <c r="CX33" s="107"/>
      <c r="CY33" s="107"/>
      <c r="CZ33" s="107"/>
      <c r="DA33" s="127"/>
      <c r="DB33" s="127"/>
      <c r="DC33" s="127"/>
      <c r="DD33" s="127"/>
      <c r="DE33" s="127"/>
      <c r="DF33" s="127"/>
      <c r="DG33" s="127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5"/>
      <c r="FR33" s="15"/>
      <c r="FS33" s="15"/>
      <c r="FT33" s="16"/>
      <c r="FU33" s="14"/>
      <c r="FV33" s="13"/>
      <c r="FW33" s="14"/>
      <c r="FX33" s="14"/>
    </row>
    <row r="34" spans="1:180" ht="15.75">
      <c r="A34" s="63"/>
      <c r="B34" s="41"/>
      <c r="C34" s="41"/>
      <c r="D34" s="41"/>
      <c r="E34" s="90"/>
      <c r="F34" s="90"/>
      <c r="G34" s="90"/>
      <c r="H34" s="90"/>
      <c r="I34" s="90"/>
      <c r="J34" s="90"/>
      <c r="K34" s="90"/>
      <c r="L34" s="90"/>
      <c r="M34" s="125" t="s">
        <v>27</v>
      </c>
      <c r="N34" s="109" t="s">
        <v>27</v>
      </c>
      <c r="O34" s="110" t="s">
        <v>27</v>
      </c>
      <c r="P34" s="104"/>
      <c r="Q34" s="105"/>
      <c r="R34" s="105"/>
      <c r="S34" s="104"/>
      <c r="T34" s="104"/>
      <c r="U34" s="77"/>
      <c r="V34" s="77"/>
      <c r="W34" s="105"/>
      <c r="X34" s="105"/>
      <c r="Y34" s="106"/>
      <c r="Z34" s="105"/>
      <c r="AA34" s="105"/>
      <c r="AB34" s="105"/>
      <c r="AC34" s="106"/>
      <c r="AD34" s="105"/>
      <c r="AE34" s="106"/>
      <c r="AF34" s="105"/>
      <c r="AG34" s="105"/>
      <c r="AH34" s="106"/>
      <c r="AI34" s="106"/>
      <c r="AJ34" s="106"/>
      <c r="AK34" s="106"/>
      <c r="AL34" s="106"/>
      <c r="AM34" s="106"/>
      <c r="AN34" s="117"/>
      <c r="AO34" s="107"/>
      <c r="AP34" s="77"/>
      <c r="AQ34" s="107"/>
      <c r="AR34" s="113"/>
      <c r="AS34" s="77"/>
      <c r="AT34" s="77"/>
      <c r="AU34" s="107"/>
      <c r="AV34" s="77"/>
      <c r="AW34" s="77"/>
      <c r="AX34" s="107"/>
      <c r="AY34" s="105"/>
      <c r="AZ34" s="117"/>
      <c r="BA34" s="117"/>
      <c r="BB34" s="117"/>
      <c r="BC34" s="117"/>
      <c r="BD34" s="117"/>
      <c r="BE34" s="117"/>
      <c r="BF34" s="117"/>
      <c r="BG34" s="107"/>
      <c r="BH34" s="107"/>
      <c r="BI34" s="113"/>
      <c r="BJ34" s="107"/>
      <c r="BK34" s="77"/>
      <c r="BL34" s="77"/>
      <c r="BM34" s="113"/>
      <c r="BN34" s="77"/>
      <c r="BO34" s="77"/>
      <c r="BP34" s="77"/>
      <c r="BQ34" s="77"/>
      <c r="BR34" s="77"/>
      <c r="BS34" s="77"/>
      <c r="BT34" s="105"/>
      <c r="BU34" s="107"/>
      <c r="BV34" s="77"/>
      <c r="BW34" s="7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8"/>
      <c r="CW34" s="107"/>
      <c r="CX34" s="107"/>
      <c r="CY34" s="107"/>
      <c r="CZ34" s="107"/>
      <c r="DA34" s="112"/>
      <c r="DB34" s="112"/>
      <c r="DC34" s="112"/>
      <c r="DD34" s="112"/>
      <c r="DE34" s="112"/>
      <c r="DF34" s="112"/>
      <c r="DG34" s="112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3"/>
      <c r="FR34" s="13"/>
      <c r="FS34" s="15"/>
      <c r="FT34" s="16"/>
      <c r="FU34" s="13"/>
      <c r="FV34" s="13"/>
      <c r="FW34" s="14"/>
      <c r="FX34" s="14"/>
    </row>
    <row r="35" spans="1:180" ht="18.75" customHeight="1">
      <c r="A35" s="319" t="s">
        <v>45</v>
      </c>
      <c r="B35" s="41"/>
      <c r="C35" s="41"/>
      <c r="D35" s="41"/>
      <c r="E35" s="90">
        <f aca="true" t="shared" si="29" ref="E35:K35">SUM(E37:E39)</f>
        <v>703</v>
      </c>
      <c r="F35" s="90">
        <f t="shared" si="29"/>
        <v>3232</v>
      </c>
      <c r="G35" s="90">
        <f t="shared" si="29"/>
        <v>2101</v>
      </c>
      <c r="H35" s="90">
        <f t="shared" si="29"/>
        <v>2454</v>
      </c>
      <c r="I35" s="90">
        <f t="shared" si="29"/>
        <v>1714</v>
      </c>
      <c r="J35" s="90">
        <f t="shared" si="29"/>
        <v>1714</v>
      </c>
      <c r="K35" s="90">
        <f t="shared" si="29"/>
        <v>2043</v>
      </c>
      <c r="L35" s="90">
        <v>1442</v>
      </c>
      <c r="M35" s="90">
        <v>1600</v>
      </c>
      <c r="N35" s="104">
        <v>550</v>
      </c>
      <c r="O35" s="105">
        <v>830</v>
      </c>
      <c r="P35" s="104">
        <f>SUM(P37:P39)</f>
        <v>2304</v>
      </c>
      <c r="Q35" s="105">
        <f>SUM(Q37:Q39)</f>
        <v>2453</v>
      </c>
      <c r="R35" s="105">
        <v>2648.054</v>
      </c>
      <c r="S35" s="104">
        <f>SUM(S37:S40)</f>
        <v>195</v>
      </c>
      <c r="T35" s="104">
        <f>SUM(T37:T40)</f>
        <v>237</v>
      </c>
      <c r="U35" s="105">
        <f aca="true" t="shared" si="30" ref="U35:AA35">SUM(U37:U40)</f>
        <v>191</v>
      </c>
      <c r="V35" s="105">
        <f t="shared" si="30"/>
        <v>83</v>
      </c>
      <c r="W35" s="105">
        <f t="shared" si="30"/>
        <v>122</v>
      </c>
      <c r="X35" s="105">
        <f t="shared" si="30"/>
        <v>276</v>
      </c>
      <c r="Y35" s="106">
        <f t="shared" si="30"/>
        <v>74</v>
      </c>
      <c r="Z35" s="105">
        <f t="shared" si="30"/>
        <v>450</v>
      </c>
      <c r="AA35" s="105">
        <f t="shared" si="30"/>
        <v>269</v>
      </c>
      <c r="AB35" s="77">
        <f>SUM(AB38:AB39)</f>
        <v>273</v>
      </c>
      <c r="AC35" s="77">
        <f>SUM(AC38:AC39)</f>
        <v>261</v>
      </c>
      <c r="AD35" s="77">
        <f>SUM(AD38:AD39)</f>
        <v>217.054</v>
      </c>
      <c r="AE35" s="107">
        <f>SUM(AE38:AE39)</f>
        <v>2648.054</v>
      </c>
      <c r="AF35" s="77">
        <v>2432.43</v>
      </c>
      <c r="AG35" s="77">
        <v>2961</v>
      </c>
      <c r="AH35" s="107">
        <v>2520</v>
      </c>
      <c r="AI35" s="107">
        <v>2020</v>
      </c>
      <c r="AJ35" s="107">
        <v>5602</v>
      </c>
      <c r="AK35" s="107">
        <v>3555</v>
      </c>
      <c r="AL35" s="107">
        <v>1676.053</v>
      </c>
      <c r="AM35" s="107">
        <v>2103.36</v>
      </c>
      <c r="AN35" s="113" t="s">
        <v>29</v>
      </c>
      <c r="AO35" s="77">
        <f>SUM(AO37:AO39)</f>
        <v>466.29</v>
      </c>
      <c r="AP35" s="77">
        <f>SUM(AP37:AP39)</f>
        <v>365.85</v>
      </c>
      <c r="AQ35" s="107">
        <f aca="true" t="shared" si="31" ref="AQ35:AY35">SUM(AQ37:AQ39)</f>
        <v>199.3</v>
      </c>
      <c r="AR35" s="113" t="s">
        <v>29</v>
      </c>
      <c r="AS35" s="107">
        <f t="shared" si="31"/>
        <v>204.25</v>
      </c>
      <c r="AT35" s="113" t="s">
        <v>29</v>
      </c>
      <c r="AU35" s="107">
        <f t="shared" si="31"/>
        <v>44.15</v>
      </c>
      <c r="AV35" s="107">
        <f t="shared" si="31"/>
        <v>193.7</v>
      </c>
      <c r="AW35" s="107">
        <f t="shared" si="31"/>
        <v>268.55</v>
      </c>
      <c r="AX35" s="107">
        <f t="shared" si="31"/>
        <v>41.97</v>
      </c>
      <c r="AY35" s="107">
        <f t="shared" si="31"/>
        <v>319.3</v>
      </c>
      <c r="AZ35" s="107">
        <f>SUM(AZ37:AZ40)</f>
        <v>2103.36</v>
      </c>
      <c r="BA35" s="107">
        <f aca="true" t="shared" si="32" ref="BA35:BU35">SUM(BA37:BA40)</f>
        <v>1153.1760000000002</v>
      </c>
      <c r="BB35" s="107">
        <v>787.2919999999999</v>
      </c>
      <c r="BC35" s="107">
        <v>939.8989999999999</v>
      </c>
      <c r="BD35" s="107">
        <v>1594.386</v>
      </c>
      <c r="BE35" s="107">
        <v>2207.672</v>
      </c>
      <c r="BF35" s="107">
        <v>3631.466</v>
      </c>
      <c r="BG35" s="107">
        <v>852.631</v>
      </c>
      <c r="BH35" s="107">
        <v>67.42999999999999</v>
      </c>
      <c r="BI35" s="107">
        <f t="shared" si="32"/>
        <v>34.952</v>
      </c>
      <c r="BJ35" s="107">
        <f t="shared" si="32"/>
        <v>26.65</v>
      </c>
      <c r="BK35" s="107">
        <f t="shared" si="32"/>
        <v>25.099</v>
      </c>
      <c r="BL35" s="107">
        <f t="shared" si="32"/>
        <v>55.95</v>
      </c>
      <c r="BM35" s="107">
        <f t="shared" si="32"/>
        <v>40.85</v>
      </c>
      <c r="BN35" s="107">
        <f t="shared" si="32"/>
        <v>182.85</v>
      </c>
      <c r="BO35" s="107">
        <f t="shared" si="32"/>
        <v>0</v>
      </c>
      <c r="BP35" s="107">
        <f t="shared" si="32"/>
        <v>225.15</v>
      </c>
      <c r="BQ35" s="107">
        <f t="shared" si="32"/>
        <v>188.5</v>
      </c>
      <c r="BR35" s="107">
        <f t="shared" si="32"/>
        <v>128.7</v>
      </c>
      <c r="BS35" s="107">
        <f t="shared" si="32"/>
        <v>132.95</v>
      </c>
      <c r="BT35" s="107">
        <f t="shared" si="32"/>
        <v>111.525</v>
      </c>
      <c r="BU35" s="107">
        <f t="shared" si="32"/>
        <v>1153.1760000000002</v>
      </c>
      <c r="BV35" s="107">
        <f>SUM(BV37:BV40)</f>
        <v>59.1</v>
      </c>
      <c r="BW35" s="107">
        <f aca="true" t="shared" si="33" ref="BW35:CG35">SUM(BW37:BW40)</f>
        <v>61.15</v>
      </c>
      <c r="BX35" s="107">
        <f t="shared" si="33"/>
        <v>38.65</v>
      </c>
      <c r="BY35" s="107">
        <f t="shared" si="33"/>
        <v>28.3</v>
      </c>
      <c r="BZ35" s="107">
        <f t="shared" si="33"/>
        <v>0</v>
      </c>
      <c r="CA35" s="107">
        <f t="shared" si="33"/>
        <v>24.35</v>
      </c>
      <c r="CB35" s="107">
        <f t="shared" si="33"/>
        <v>66.387</v>
      </c>
      <c r="CC35" s="107">
        <f t="shared" si="33"/>
        <v>77</v>
      </c>
      <c r="CD35" s="107">
        <f t="shared" si="33"/>
        <v>24.9</v>
      </c>
      <c r="CE35" s="107">
        <f t="shared" si="33"/>
        <v>122.655</v>
      </c>
      <c r="CF35" s="107">
        <f t="shared" si="33"/>
        <v>203</v>
      </c>
      <c r="CG35" s="107">
        <f t="shared" si="33"/>
        <v>81.8</v>
      </c>
      <c r="CH35" s="107">
        <f>SUM(CH37:CH40)</f>
        <v>787.2919999999999</v>
      </c>
      <c r="CI35" s="107">
        <f aca="true" t="shared" si="34" ref="CI35:DG35">SUM(CI37:CI40)</f>
        <v>94.725</v>
      </c>
      <c r="CJ35" s="107">
        <f t="shared" si="34"/>
        <v>51.99</v>
      </c>
      <c r="CK35" s="107">
        <f t="shared" si="34"/>
        <v>156.051</v>
      </c>
      <c r="CL35" s="107">
        <f t="shared" si="34"/>
        <v>106.77</v>
      </c>
      <c r="CM35" s="107">
        <f t="shared" si="34"/>
        <v>2.592</v>
      </c>
      <c r="CN35" s="107">
        <f t="shared" si="34"/>
        <v>37.245</v>
      </c>
      <c r="CO35" s="107">
        <f t="shared" si="34"/>
        <v>52.465</v>
      </c>
      <c r="CP35" s="107">
        <f t="shared" si="34"/>
        <v>128.697</v>
      </c>
      <c r="CQ35" s="113" t="s">
        <v>29</v>
      </c>
      <c r="CR35" s="107">
        <f t="shared" si="34"/>
        <v>134.358</v>
      </c>
      <c r="CS35" s="107">
        <f t="shared" si="34"/>
        <v>72.779</v>
      </c>
      <c r="CT35" s="107">
        <f t="shared" si="34"/>
        <v>101.932</v>
      </c>
      <c r="CU35" s="107">
        <f t="shared" si="34"/>
        <v>939.604</v>
      </c>
      <c r="CV35" s="107">
        <f t="shared" si="34"/>
        <v>47.773</v>
      </c>
      <c r="CW35" s="107">
        <f t="shared" si="34"/>
        <v>87.09</v>
      </c>
      <c r="CX35" s="107">
        <f t="shared" si="34"/>
        <v>178.78</v>
      </c>
      <c r="CY35" s="107">
        <f t="shared" si="34"/>
        <v>156.071</v>
      </c>
      <c r="CZ35" s="107">
        <f t="shared" si="34"/>
        <v>177.9</v>
      </c>
      <c r="DA35" s="107">
        <f t="shared" si="34"/>
        <v>130.403</v>
      </c>
      <c r="DB35" s="107">
        <f t="shared" si="34"/>
        <v>114.343</v>
      </c>
      <c r="DC35" s="107">
        <f t="shared" si="34"/>
        <v>78.182</v>
      </c>
      <c r="DD35" s="107">
        <f t="shared" si="34"/>
        <v>126.1</v>
      </c>
      <c r="DE35" s="107">
        <f t="shared" si="34"/>
        <v>293.8</v>
      </c>
      <c r="DF35" s="107">
        <f t="shared" si="34"/>
        <v>119.45</v>
      </c>
      <c r="DG35" s="107">
        <f t="shared" si="34"/>
        <v>84.494</v>
      </c>
      <c r="DH35" s="108">
        <f aca="true" t="shared" si="35" ref="DH35:DS35">SUM(DH37:DH40)</f>
        <v>1594.386</v>
      </c>
      <c r="DI35" s="108">
        <f t="shared" si="35"/>
        <v>27.5</v>
      </c>
      <c r="DJ35" s="108">
        <f t="shared" si="35"/>
        <v>54.175</v>
      </c>
      <c r="DK35" s="108">
        <f t="shared" si="35"/>
        <v>28.215</v>
      </c>
      <c r="DL35" s="108">
        <f t="shared" si="35"/>
        <v>79.8</v>
      </c>
      <c r="DM35" s="108">
        <f t="shared" si="35"/>
        <v>141.05</v>
      </c>
      <c r="DN35" s="108">
        <f t="shared" si="35"/>
        <v>133.69</v>
      </c>
      <c r="DO35" s="108">
        <f t="shared" si="35"/>
        <v>371.2</v>
      </c>
      <c r="DP35" s="108">
        <f t="shared" si="35"/>
        <v>191.55</v>
      </c>
      <c r="DQ35" s="108">
        <f t="shared" si="35"/>
        <v>323.05</v>
      </c>
      <c r="DR35" s="108">
        <f t="shared" si="35"/>
        <v>256.75</v>
      </c>
      <c r="DS35" s="108">
        <f t="shared" si="35"/>
        <v>319.692</v>
      </c>
      <c r="DT35" s="107">
        <f aca="true" t="shared" si="36" ref="DT35:ED35">SUM(DT37:DT40)</f>
        <v>281</v>
      </c>
      <c r="DU35" s="108">
        <f t="shared" si="36"/>
        <v>2207.672</v>
      </c>
      <c r="DV35" s="108">
        <f t="shared" si="36"/>
        <v>282.392</v>
      </c>
      <c r="DW35" s="108">
        <f t="shared" si="36"/>
        <v>276.76</v>
      </c>
      <c r="DX35" s="108">
        <f t="shared" si="36"/>
        <v>340.839</v>
      </c>
      <c r="DY35" s="108">
        <f t="shared" si="36"/>
        <v>358.943</v>
      </c>
      <c r="DZ35" s="108">
        <f t="shared" si="36"/>
        <v>479.741</v>
      </c>
      <c r="EA35" s="108">
        <f t="shared" si="36"/>
        <v>566.352</v>
      </c>
      <c r="EB35" s="108">
        <f t="shared" si="36"/>
        <v>458.186</v>
      </c>
      <c r="EC35" s="108">
        <f t="shared" si="36"/>
        <v>240.9</v>
      </c>
      <c r="ED35" s="108">
        <f t="shared" si="36"/>
        <v>166.096</v>
      </c>
      <c r="EE35" s="108">
        <f>SUM(EE37:EE40)</f>
        <v>295.377</v>
      </c>
      <c r="EF35" s="108">
        <f>SUM(EF37:EF40)</f>
        <v>35.459</v>
      </c>
      <c r="EG35" s="108">
        <f>SUM(EG37:EG40)</f>
        <v>130.421</v>
      </c>
      <c r="EH35" s="108">
        <f>SUM(EH38:EH40)</f>
        <v>3631.466</v>
      </c>
      <c r="EI35" s="108">
        <f>SUM(EI38:EI40)</f>
        <v>81.991</v>
      </c>
      <c r="EJ35" s="108">
        <f aca="true" t="shared" si="37" ref="EJ35:FP35">SUM(EJ38:EJ40)</f>
        <v>30.56</v>
      </c>
      <c r="EK35" s="108">
        <f t="shared" si="37"/>
        <v>61.837</v>
      </c>
      <c r="EL35" s="108">
        <f t="shared" si="37"/>
        <v>28.254</v>
      </c>
      <c r="EM35" s="108">
        <f t="shared" si="37"/>
        <v>74.16</v>
      </c>
      <c r="EN35" s="108">
        <f t="shared" si="37"/>
        <v>266.86</v>
      </c>
      <c r="EO35" s="108">
        <f t="shared" si="37"/>
        <v>111.603</v>
      </c>
      <c r="EP35" s="108">
        <f t="shared" si="37"/>
        <v>11.803</v>
      </c>
      <c r="EQ35" s="108">
        <f t="shared" si="37"/>
        <v>127.448</v>
      </c>
      <c r="ER35" s="108">
        <f t="shared" si="37"/>
        <v>14.545</v>
      </c>
      <c r="ES35" s="108">
        <f t="shared" si="37"/>
        <v>9.245</v>
      </c>
      <c r="ET35" s="108">
        <f t="shared" si="37"/>
        <v>34.325</v>
      </c>
      <c r="EU35" s="108">
        <f t="shared" si="37"/>
        <v>852.631</v>
      </c>
      <c r="EV35" s="108">
        <f t="shared" si="37"/>
        <v>0</v>
      </c>
      <c r="EW35" s="108">
        <f t="shared" si="37"/>
        <v>4.198</v>
      </c>
      <c r="EX35" s="108">
        <f t="shared" si="37"/>
        <v>6.075</v>
      </c>
      <c r="EY35" s="108">
        <f t="shared" si="37"/>
        <v>4.825</v>
      </c>
      <c r="EZ35" s="108">
        <f t="shared" si="37"/>
        <v>3.74</v>
      </c>
      <c r="FA35" s="108">
        <f t="shared" si="37"/>
        <v>1.605</v>
      </c>
      <c r="FB35" s="108">
        <f t="shared" si="37"/>
        <v>1.866</v>
      </c>
      <c r="FC35" s="108">
        <f t="shared" si="37"/>
        <v>7.367</v>
      </c>
      <c r="FD35" s="108">
        <f t="shared" si="37"/>
        <v>3.617</v>
      </c>
      <c r="FE35" s="108">
        <f t="shared" si="37"/>
        <v>4.043</v>
      </c>
      <c r="FF35" s="108">
        <f t="shared" si="37"/>
        <v>25.895</v>
      </c>
      <c r="FG35" s="108">
        <f t="shared" si="37"/>
        <v>4.199</v>
      </c>
      <c r="FH35" s="108">
        <f aca="true" t="shared" si="38" ref="FH35:FO35">SUM(FH38:FH40)</f>
        <v>22.309</v>
      </c>
      <c r="FI35" s="108">
        <f t="shared" si="38"/>
        <v>13.905</v>
      </c>
      <c r="FJ35" s="108">
        <f t="shared" si="38"/>
        <v>2.879</v>
      </c>
      <c r="FK35" s="108">
        <f t="shared" si="38"/>
        <v>2.59</v>
      </c>
      <c r="FL35" s="108">
        <f t="shared" si="38"/>
        <v>1.217</v>
      </c>
      <c r="FM35" s="108">
        <f t="shared" si="38"/>
        <v>1.147</v>
      </c>
      <c r="FN35" s="108">
        <f t="shared" si="38"/>
        <v>1.581</v>
      </c>
      <c r="FO35" s="108">
        <f t="shared" si="38"/>
        <v>1.293</v>
      </c>
      <c r="FP35" s="108">
        <f t="shared" si="37"/>
        <v>24.611999999999995</v>
      </c>
      <c r="FQ35" s="13"/>
      <c r="FR35" s="13"/>
      <c r="FS35" s="13"/>
      <c r="FT35" s="13"/>
      <c r="FU35" s="13"/>
      <c r="FV35" s="13"/>
      <c r="FW35" s="12"/>
      <c r="FX35" s="14"/>
    </row>
    <row r="36" spans="1:180" ht="15.75">
      <c r="A36" s="63"/>
      <c r="B36" s="41"/>
      <c r="C36" s="41"/>
      <c r="D36" s="41"/>
      <c r="E36" s="90"/>
      <c r="F36" s="90"/>
      <c r="G36" s="90"/>
      <c r="H36" s="90"/>
      <c r="I36" s="90"/>
      <c r="J36" s="90"/>
      <c r="K36" s="90"/>
      <c r="L36" s="90"/>
      <c r="M36" s="125" t="s">
        <v>27</v>
      </c>
      <c r="N36" s="109" t="s">
        <v>27</v>
      </c>
      <c r="O36" s="110" t="s">
        <v>27</v>
      </c>
      <c r="P36" s="104"/>
      <c r="Q36" s="105"/>
      <c r="R36" s="105"/>
      <c r="S36" s="104"/>
      <c r="T36" s="104"/>
      <c r="U36" s="77"/>
      <c r="V36" s="77"/>
      <c r="W36" s="105"/>
      <c r="X36" s="105"/>
      <c r="Y36" s="106"/>
      <c r="Z36" s="105"/>
      <c r="AA36" s="105"/>
      <c r="AB36" s="105"/>
      <c r="AC36" s="106"/>
      <c r="AD36" s="105"/>
      <c r="AE36" s="106"/>
      <c r="AF36" s="105"/>
      <c r="AG36" s="105"/>
      <c r="AH36" s="106"/>
      <c r="AI36" s="106"/>
      <c r="AJ36" s="106"/>
      <c r="AK36" s="106"/>
      <c r="AL36" s="106"/>
      <c r="AM36" s="106"/>
      <c r="AN36" s="107"/>
      <c r="AO36" s="107"/>
      <c r="AP36" s="77"/>
      <c r="AQ36" s="107"/>
      <c r="AR36" s="113"/>
      <c r="AS36" s="77"/>
      <c r="AT36" s="77"/>
      <c r="AU36" s="107"/>
      <c r="AV36" s="77"/>
      <c r="AW36" s="77"/>
      <c r="AX36" s="107"/>
      <c r="AY36" s="105"/>
      <c r="AZ36" s="117"/>
      <c r="BA36" s="117"/>
      <c r="BB36" s="117"/>
      <c r="BC36" s="117"/>
      <c r="BD36" s="117"/>
      <c r="BE36" s="117"/>
      <c r="BF36" s="117"/>
      <c r="BG36" s="107"/>
      <c r="BH36" s="107"/>
      <c r="BI36" s="77"/>
      <c r="BJ36" s="107"/>
      <c r="BK36" s="77"/>
      <c r="BL36" s="77"/>
      <c r="BM36" s="113"/>
      <c r="BN36" s="77"/>
      <c r="BO36" s="77"/>
      <c r="BP36" s="77"/>
      <c r="BQ36" s="77"/>
      <c r="BR36" s="77"/>
      <c r="BS36" s="77"/>
      <c r="BT36" s="105"/>
      <c r="BU36" s="107"/>
      <c r="BV36" s="77"/>
      <c r="BW36" s="7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8"/>
      <c r="CW36" s="107"/>
      <c r="CX36" s="107"/>
      <c r="CY36" s="107"/>
      <c r="CZ36" s="107"/>
      <c r="DA36" s="112"/>
      <c r="DB36" s="112"/>
      <c r="DC36" s="112"/>
      <c r="DD36" s="112"/>
      <c r="DE36" s="112"/>
      <c r="DF36" s="112"/>
      <c r="DG36" s="112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3"/>
      <c r="FR36" s="13"/>
      <c r="FS36" s="13"/>
      <c r="FT36" s="13"/>
      <c r="FU36" s="13"/>
      <c r="FV36" s="13"/>
      <c r="FW36" s="13"/>
      <c r="FX36" s="13"/>
    </row>
    <row r="37" spans="1:180" ht="15.75" customHeight="1" hidden="1">
      <c r="A37" s="103" t="s">
        <v>46</v>
      </c>
      <c r="B37" s="41"/>
      <c r="C37" s="41"/>
      <c r="D37" s="41"/>
      <c r="E37" s="90">
        <v>1</v>
      </c>
      <c r="F37" s="90">
        <v>1</v>
      </c>
      <c r="G37" s="90">
        <v>10</v>
      </c>
      <c r="H37" s="90">
        <v>1</v>
      </c>
      <c r="I37" s="90">
        <v>28</v>
      </c>
      <c r="J37" s="118" t="s">
        <v>29</v>
      </c>
      <c r="K37" s="90">
        <v>16</v>
      </c>
      <c r="L37" s="90">
        <v>35</v>
      </c>
      <c r="M37" s="118" t="s">
        <v>29</v>
      </c>
      <c r="N37" s="114" t="s">
        <v>29</v>
      </c>
      <c r="O37" s="113" t="s">
        <v>29</v>
      </c>
      <c r="P37" s="114" t="s">
        <v>29</v>
      </c>
      <c r="Q37" s="113" t="s">
        <v>29</v>
      </c>
      <c r="R37" s="116" t="s">
        <v>29</v>
      </c>
      <c r="S37" s="114" t="s">
        <v>29</v>
      </c>
      <c r="T37" s="114" t="s">
        <v>29</v>
      </c>
      <c r="U37" s="113" t="s">
        <v>29</v>
      </c>
      <c r="V37" s="113" t="s">
        <v>29</v>
      </c>
      <c r="W37" s="113" t="s">
        <v>29</v>
      </c>
      <c r="X37" s="113" t="s">
        <v>29</v>
      </c>
      <c r="Y37" s="117" t="s">
        <v>29</v>
      </c>
      <c r="Z37" s="113" t="s">
        <v>29</v>
      </c>
      <c r="AA37" s="114"/>
      <c r="AB37" s="114" t="s">
        <v>29</v>
      </c>
      <c r="AC37" s="117" t="s">
        <v>29</v>
      </c>
      <c r="AD37" s="113" t="s">
        <v>29</v>
      </c>
      <c r="AE37" s="106">
        <f>SUM(S37:Z37)</f>
        <v>0</v>
      </c>
      <c r="AF37" s="105">
        <v>0</v>
      </c>
      <c r="AG37" s="105"/>
      <c r="AH37" s="106"/>
      <c r="AI37" s="106"/>
      <c r="AJ37" s="106"/>
      <c r="AK37" s="106"/>
      <c r="AL37" s="106"/>
      <c r="AM37" s="106"/>
      <c r="AN37" s="107"/>
      <c r="AO37" s="107"/>
      <c r="AP37" s="77"/>
      <c r="AQ37" s="107"/>
      <c r="AR37" s="113"/>
      <c r="AS37" s="77"/>
      <c r="AT37" s="77"/>
      <c r="AU37" s="45"/>
      <c r="AV37" s="45"/>
      <c r="AW37" s="45"/>
      <c r="AX37" s="107"/>
      <c r="AY37" s="105"/>
      <c r="AZ37" s="117"/>
      <c r="BA37" s="117"/>
      <c r="BB37" s="117">
        <v>0</v>
      </c>
      <c r="BC37" s="117"/>
      <c r="BD37" s="117"/>
      <c r="BE37" s="117"/>
      <c r="BF37" s="117"/>
      <c r="BG37" s="107"/>
      <c r="BH37" s="107"/>
      <c r="BI37" s="77"/>
      <c r="BJ37" s="107"/>
      <c r="BK37" s="77"/>
      <c r="BL37" s="77"/>
      <c r="BM37" s="113"/>
      <c r="BN37" s="77"/>
      <c r="BO37" s="77"/>
      <c r="BP37" s="77"/>
      <c r="BQ37" s="77"/>
      <c r="BR37" s="77"/>
      <c r="BS37" s="77"/>
      <c r="BT37" s="105"/>
      <c r="BU37" s="107">
        <f>SUM(BI37:BS37)</f>
        <v>0</v>
      </c>
      <c r="BV37" s="77"/>
      <c r="BW37" s="7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>
        <f>SUM(BV37:BX37)</f>
        <v>0</v>
      </c>
      <c r="CI37" s="107"/>
      <c r="CJ37" s="107"/>
      <c r="CK37" s="107"/>
      <c r="CL37" s="107">
        <v>0</v>
      </c>
      <c r="CM37" s="107"/>
      <c r="CN37" s="107"/>
      <c r="CO37" s="107"/>
      <c r="CP37" s="107"/>
      <c r="CQ37" s="107"/>
      <c r="CR37" s="107"/>
      <c r="CS37" s="107"/>
      <c r="CT37" s="107"/>
      <c r="CU37" s="107"/>
      <c r="CV37" s="108"/>
      <c r="CW37" s="107"/>
      <c r="CX37" s="107"/>
      <c r="CY37" s="107"/>
      <c r="CZ37" s="107"/>
      <c r="DA37" s="112"/>
      <c r="DB37" s="112"/>
      <c r="DC37" s="112"/>
      <c r="DD37" s="112"/>
      <c r="DE37" s="112"/>
      <c r="DF37" s="112"/>
      <c r="DG37" s="112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3"/>
      <c r="FR37" s="13"/>
      <c r="FS37" s="13"/>
      <c r="FT37" s="13"/>
      <c r="FU37" s="13"/>
      <c r="FV37" s="13"/>
      <c r="FW37" s="12"/>
      <c r="FX37" s="14"/>
    </row>
    <row r="38" spans="1:180" ht="15.75">
      <c r="A38" s="103" t="s">
        <v>93</v>
      </c>
      <c r="B38" s="41"/>
      <c r="C38" s="41"/>
      <c r="D38" s="41"/>
      <c r="E38" s="90">
        <v>654</v>
      </c>
      <c r="F38" s="90">
        <v>2007</v>
      </c>
      <c r="G38" s="90">
        <v>2062</v>
      </c>
      <c r="H38" s="90">
        <v>1219</v>
      </c>
      <c r="I38" s="90">
        <v>1421</v>
      </c>
      <c r="J38" s="90">
        <v>879</v>
      </c>
      <c r="K38" s="90">
        <v>917</v>
      </c>
      <c r="L38" s="90">
        <v>626</v>
      </c>
      <c r="M38" s="90">
        <v>616</v>
      </c>
      <c r="N38" s="104">
        <v>272</v>
      </c>
      <c r="O38" s="105">
        <v>587</v>
      </c>
      <c r="P38" s="104">
        <v>1656</v>
      </c>
      <c r="Q38" s="105">
        <v>1981</v>
      </c>
      <c r="R38" s="105">
        <v>1976.054</v>
      </c>
      <c r="S38" s="104">
        <v>121</v>
      </c>
      <c r="T38" s="104">
        <f>212+7</f>
        <v>219</v>
      </c>
      <c r="U38" s="77">
        <v>189</v>
      </c>
      <c r="V38" s="77">
        <v>83</v>
      </c>
      <c r="W38" s="105">
        <v>122</v>
      </c>
      <c r="X38" s="105">
        <f>43+233</f>
        <v>276</v>
      </c>
      <c r="Y38" s="106">
        <v>74</v>
      </c>
      <c r="Z38" s="105">
        <f>141+131</f>
        <v>272</v>
      </c>
      <c r="AA38" s="105">
        <v>97</v>
      </c>
      <c r="AB38" s="105">
        <v>216</v>
      </c>
      <c r="AC38" s="106">
        <f>45+64</f>
        <v>109</v>
      </c>
      <c r="AD38" s="105">
        <f>81.054+117</f>
        <v>198.054</v>
      </c>
      <c r="AE38" s="106">
        <f>SUM(S38:AD38)</f>
        <v>1976.054</v>
      </c>
      <c r="AF38" s="105">
        <v>2432.43</v>
      </c>
      <c r="AG38" s="105">
        <v>2710</v>
      </c>
      <c r="AH38" s="106">
        <v>2463</v>
      </c>
      <c r="AI38" s="106">
        <v>2020</v>
      </c>
      <c r="AJ38" s="106">
        <v>5602</v>
      </c>
      <c r="AK38" s="106">
        <v>3555</v>
      </c>
      <c r="AL38" s="106">
        <v>1676.053</v>
      </c>
      <c r="AM38" s="106">
        <v>2103.36</v>
      </c>
      <c r="AN38" s="113" t="s">
        <v>29</v>
      </c>
      <c r="AO38" s="77">
        <v>466.29</v>
      </c>
      <c r="AP38" s="113">
        <v>365.85</v>
      </c>
      <c r="AQ38" s="77">
        <v>199.3</v>
      </c>
      <c r="AR38" s="113" t="s">
        <v>29</v>
      </c>
      <c r="AS38" s="77">
        <v>204.25</v>
      </c>
      <c r="AT38" s="116" t="s">
        <v>29</v>
      </c>
      <c r="AU38" s="77">
        <v>44.15</v>
      </c>
      <c r="AV38" s="77">
        <v>193.7</v>
      </c>
      <c r="AW38" s="77">
        <v>268.55</v>
      </c>
      <c r="AX38" s="113">
        <v>41.97</v>
      </c>
      <c r="AY38" s="113">
        <v>319.3</v>
      </c>
      <c r="AZ38" s="77">
        <f>SUM(AN38:AY38)</f>
        <v>2103.36</v>
      </c>
      <c r="BA38" s="77">
        <v>1153.1760000000002</v>
      </c>
      <c r="BB38" s="77">
        <v>787.2919999999999</v>
      </c>
      <c r="BC38" s="77">
        <v>939.8989999999999</v>
      </c>
      <c r="BD38" s="77">
        <v>1594.386</v>
      </c>
      <c r="BE38" s="77">
        <v>2207.672</v>
      </c>
      <c r="BF38" s="77">
        <v>3631.466</v>
      </c>
      <c r="BG38" s="107">
        <v>852.631</v>
      </c>
      <c r="BH38" s="107">
        <v>67.42999999999999</v>
      </c>
      <c r="BI38" s="113">
        <v>34.952</v>
      </c>
      <c r="BJ38" s="107">
        <v>26.65</v>
      </c>
      <c r="BK38" s="113">
        <v>25.099</v>
      </c>
      <c r="BL38" s="77">
        <v>55.95</v>
      </c>
      <c r="BM38" s="113">
        <v>40.85</v>
      </c>
      <c r="BN38" s="77">
        <v>182.85</v>
      </c>
      <c r="BO38" s="113" t="s">
        <v>29</v>
      </c>
      <c r="BP38" s="77">
        <v>225.15</v>
      </c>
      <c r="BQ38" s="77">
        <v>188.5</v>
      </c>
      <c r="BR38" s="77">
        <v>128.7</v>
      </c>
      <c r="BS38" s="113">
        <v>132.95</v>
      </c>
      <c r="BT38" s="113">
        <v>111.525</v>
      </c>
      <c r="BU38" s="107">
        <f>SUM(BI38:BT39)</f>
        <v>1153.1760000000002</v>
      </c>
      <c r="BV38" s="105">
        <v>59.1</v>
      </c>
      <c r="BW38" s="105">
        <v>61.15</v>
      </c>
      <c r="BX38" s="106">
        <v>38.65</v>
      </c>
      <c r="BY38" s="107">
        <v>28.3</v>
      </c>
      <c r="BZ38" s="107"/>
      <c r="CA38" s="107">
        <v>24.35</v>
      </c>
      <c r="CB38" s="107">
        <v>66.387</v>
      </c>
      <c r="CC38" s="107">
        <v>77</v>
      </c>
      <c r="CD38" s="107">
        <v>24.9</v>
      </c>
      <c r="CE38" s="107">
        <v>122.655</v>
      </c>
      <c r="CF38" s="107">
        <v>203</v>
      </c>
      <c r="CG38" s="107">
        <v>81.8</v>
      </c>
      <c r="CH38" s="107">
        <f>SUM(BV38:CG38)</f>
        <v>787.2919999999999</v>
      </c>
      <c r="CI38" s="107">
        <v>94.725</v>
      </c>
      <c r="CJ38" s="107">
        <v>51.99</v>
      </c>
      <c r="CK38" s="107">
        <v>156.051</v>
      </c>
      <c r="CL38" s="107">
        <v>106.77</v>
      </c>
      <c r="CM38" s="107">
        <v>2.592</v>
      </c>
      <c r="CN38" s="107">
        <v>37.245</v>
      </c>
      <c r="CO38" s="107">
        <v>52.465</v>
      </c>
      <c r="CP38" s="107">
        <v>128.697</v>
      </c>
      <c r="CQ38" s="113" t="s">
        <v>29</v>
      </c>
      <c r="CR38" s="107">
        <v>134.358</v>
      </c>
      <c r="CS38" s="107">
        <v>72.779</v>
      </c>
      <c r="CT38" s="107">
        <v>101.932</v>
      </c>
      <c r="CU38" s="107">
        <f>SUM(CI38:CT38)</f>
        <v>939.604</v>
      </c>
      <c r="CV38" s="108">
        <v>47.773</v>
      </c>
      <c r="CW38" s="117">
        <v>87.09</v>
      </c>
      <c r="CX38" s="117">
        <v>178.78</v>
      </c>
      <c r="CY38" s="117">
        <v>156.071</v>
      </c>
      <c r="CZ38" s="117">
        <v>177.9</v>
      </c>
      <c r="DA38" s="123">
        <v>130.403</v>
      </c>
      <c r="DB38" s="123">
        <v>114.343</v>
      </c>
      <c r="DC38" s="123">
        <v>78.182</v>
      </c>
      <c r="DD38" s="123">
        <v>126.1</v>
      </c>
      <c r="DE38" s="123">
        <v>293.8</v>
      </c>
      <c r="DF38" s="123">
        <v>119.45</v>
      </c>
      <c r="DG38" s="123">
        <v>84.494</v>
      </c>
      <c r="DH38" s="108">
        <f>SUM(CV38:DG40)</f>
        <v>1594.386</v>
      </c>
      <c r="DI38" s="108">
        <v>27.5</v>
      </c>
      <c r="DJ38" s="108">
        <v>54.175</v>
      </c>
      <c r="DK38" s="108">
        <v>28.215</v>
      </c>
      <c r="DL38" s="108">
        <v>79.8</v>
      </c>
      <c r="DM38" s="108">
        <v>141.05</v>
      </c>
      <c r="DN38" s="108">
        <v>133.69</v>
      </c>
      <c r="DO38" s="108">
        <v>371.2</v>
      </c>
      <c r="DP38" s="108">
        <v>191.55</v>
      </c>
      <c r="DQ38" s="108">
        <v>323.05</v>
      </c>
      <c r="DR38" s="108">
        <v>256.75</v>
      </c>
      <c r="DS38" s="108">
        <v>319.692</v>
      </c>
      <c r="DT38" s="108">
        <v>281</v>
      </c>
      <c r="DU38" s="108">
        <f>SUM(DI38:DT38)</f>
        <v>2207.672</v>
      </c>
      <c r="DV38" s="108">
        <v>282.392</v>
      </c>
      <c r="DW38" s="108">
        <v>276.76</v>
      </c>
      <c r="DX38" s="108">
        <v>340.839</v>
      </c>
      <c r="DY38" s="108">
        <v>358.943</v>
      </c>
      <c r="DZ38" s="108">
        <v>479.741</v>
      </c>
      <c r="EA38" s="108">
        <v>566.352</v>
      </c>
      <c r="EB38" s="108">
        <v>458.186</v>
      </c>
      <c r="EC38" s="108">
        <v>240.9</v>
      </c>
      <c r="ED38" s="108">
        <v>166.096</v>
      </c>
      <c r="EE38" s="108">
        <v>295.377</v>
      </c>
      <c r="EF38" s="108">
        <v>35.459</v>
      </c>
      <c r="EG38" s="108">
        <v>130.421</v>
      </c>
      <c r="EH38" s="108">
        <f>SUM(DV38:EG38)</f>
        <v>3631.466</v>
      </c>
      <c r="EI38" s="108">
        <v>81.991</v>
      </c>
      <c r="EJ38" s="108">
        <v>30.56</v>
      </c>
      <c r="EK38" s="108">
        <v>61.837</v>
      </c>
      <c r="EL38" s="108">
        <v>28.254</v>
      </c>
      <c r="EM38" s="108">
        <v>74.16</v>
      </c>
      <c r="EN38" s="108">
        <v>266.86</v>
      </c>
      <c r="EO38" s="108">
        <v>111.603</v>
      </c>
      <c r="EP38" s="108">
        <v>11.803</v>
      </c>
      <c r="EQ38" s="108">
        <v>127.448</v>
      </c>
      <c r="ER38" s="108">
        <v>14.545</v>
      </c>
      <c r="ES38" s="108">
        <v>9.245</v>
      </c>
      <c r="ET38" s="108">
        <v>34.325</v>
      </c>
      <c r="EU38" s="108">
        <f>SUM(EI38:ET38)</f>
        <v>852.631</v>
      </c>
      <c r="EV38" s="108">
        <v>0</v>
      </c>
      <c r="EW38" s="108">
        <v>4.198</v>
      </c>
      <c r="EX38" s="108">
        <v>6.075</v>
      </c>
      <c r="EY38" s="108">
        <v>4.825</v>
      </c>
      <c r="EZ38" s="108">
        <v>3.74</v>
      </c>
      <c r="FA38" s="108">
        <v>1.605</v>
      </c>
      <c r="FB38" s="108">
        <v>1.866</v>
      </c>
      <c r="FC38" s="108">
        <v>7.367</v>
      </c>
      <c r="FD38" s="108">
        <v>3.617</v>
      </c>
      <c r="FE38" s="108">
        <v>4.043</v>
      </c>
      <c r="FF38" s="108">
        <v>25.895</v>
      </c>
      <c r="FG38" s="108">
        <v>4.199</v>
      </c>
      <c r="FH38" s="108">
        <f>SUM(EV38:FB38)</f>
        <v>22.309</v>
      </c>
      <c r="FI38" s="108">
        <v>13.905</v>
      </c>
      <c r="FJ38" s="108">
        <v>2.879</v>
      </c>
      <c r="FK38" s="108">
        <v>2.59</v>
      </c>
      <c r="FL38" s="108">
        <v>1.217</v>
      </c>
      <c r="FM38" s="108">
        <v>1.147</v>
      </c>
      <c r="FN38" s="108">
        <v>1.581</v>
      </c>
      <c r="FO38" s="108">
        <v>1.293</v>
      </c>
      <c r="FP38" s="108">
        <f>SUM(FI38:FO38)</f>
        <v>24.611999999999995</v>
      </c>
      <c r="FQ38" s="13"/>
      <c r="FR38" s="13"/>
      <c r="FS38" s="13"/>
      <c r="FT38" s="13"/>
      <c r="FU38" s="13"/>
      <c r="FV38" s="13"/>
      <c r="FW38" s="12"/>
      <c r="FX38" s="14"/>
    </row>
    <row r="39" spans="1:180" ht="15.75" customHeight="1" hidden="1">
      <c r="A39" s="103" t="s">
        <v>47</v>
      </c>
      <c r="B39" s="41"/>
      <c r="C39" s="41"/>
      <c r="D39" s="41"/>
      <c r="E39" s="90">
        <v>48</v>
      </c>
      <c r="F39" s="90">
        <v>1224</v>
      </c>
      <c r="G39" s="90">
        <v>29</v>
      </c>
      <c r="H39" s="90">
        <v>1234</v>
      </c>
      <c r="I39" s="90">
        <v>265</v>
      </c>
      <c r="J39" s="90">
        <v>835</v>
      </c>
      <c r="K39" s="90">
        <v>1110</v>
      </c>
      <c r="L39" s="90">
        <v>781</v>
      </c>
      <c r="M39" s="90">
        <v>984</v>
      </c>
      <c r="N39" s="104">
        <v>278</v>
      </c>
      <c r="O39" s="105">
        <v>243</v>
      </c>
      <c r="P39" s="104">
        <v>648</v>
      </c>
      <c r="Q39" s="105">
        <v>472</v>
      </c>
      <c r="R39" s="105">
        <v>672</v>
      </c>
      <c r="S39" s="104">
        <v>74</v>
      </c>
      <c r="T39" s="104">
        <v>18</v>
      </c>
      <c r="U39" s="77">
        <v>2</v>
      </c>
      <c r="V39" s="113" t="s">
        <v>29</v>
      </c>
      <c r="W39" s="115" t="s">
        <v>80</v>
      </c>
      <c r="X39" s="119" t="s">
        <v>29</v>
      </c>
      <c r="Y39" s="130" t="s">
        <v>29</v>
      </c>
      <c r="Z39" s="116">
        <v>178</v>
      </c>
      <c r="AA39" s="116">
        <v>172</v>
      </c>
      <c r="AB39" s="116">
        <v>57</v>
      </c>
      <c r="AC39" s="124">
        <v>152</v>
      </c>
      <c r="AD39" s="116">
        <v>19</v>
      </c>
      <c r="AE39" s="106">
        <f>SUM(S39:AD39)</f>
        <v>672</v>
      </c>
      <c r="AF39" s="117" t="s">
        <v>29</v>
      </c>
      <c r="AG39" s="113">
        <v>251</v>
      </c>
      <c r="AH39" s="117">
        <v>57</v>
      </c>
      <c r="AI39" s="113" t="s">
        <v>29</v>
      </c>
      <c r="AJ39" s="113" t="s">
        <v>29</v>
      </c>
      <c r="AK39" s="113" t="s">
        <v>29</v>
      </c>
      <c r="AL39" s="113" t="s">
        <v>29</v>
      </c>
      <c r="AM39" s="113" t="s">
        <v>29</v>
      </c>
      <c r="AN39" s="113" t="s">
        <v>29</v>
      </c>
      <c r="AO39" s="113" t="s">
        <v>29</v>
      </c>
      <c r="AP39" s="113" t="s">
        <v>29</v>
      </c>
      <c r="AQ39" s="113" t="s">
        <v>29</v>
      </c>
      <c r="AR39" s="113" t="s">
        <v>29</v>
      </c>
      <c r="AS39" s="113" t="s">
        <v>29</v>
      </c>
      <c r="AT39" s="113" t="s">
        <v>29</v>
      </c>
      <c r="AU39" s="113" t="s">
        <v>29</v>
      </c>
      <c r="AV39" s="113" t="s">
        <v>29</v>
      </c>
      <c r="AW39" s="113" t="s">
        <v>29</v>
      </c>
      <c r="AX39" s="113" t="s">
        <v>29</v>
      </c>
      <c r="AY39" s="113" t="s">
        <v>29</v>
      </c>
      <c r="AZ39" s="113" t="s">
        <v>29</v>
      </c>
      <c r="BA39" s="113" t="s">
        <v>29</v>
      </c>
      <c r="BB39" s="113">
        <v>0</v>
      </c>
      <c r="BC39" s="113"/>
      <c r="BD39" s="113"/>
      <c r="BE39" s="113"/>
      <c r="BF39" s="113"/>
      <c r="BG39" s="107"/>
      <c r="BH39" s="107"/>
      <c r="BI39" s="113" t="s">
        <v>29</v>
      </c>
      <c r="BJ39" s="113" t="s">
        <v>29</v>
      </c>
      <c r="BK39" s="113" t="s">
        <v>29</v>
      </c>
      <c r="BL39" s="113" t="s">
        <v>29</v>
      </c>
      <c r="BM39" s="113" t="s">
        <v>29</v>
      </c>
      <c r="BN39" s="113" t="s">
        <v>29</v>
      </c>
      <c r="BO39" s="113" t="s">
        <v>29</v>
      </c>
      <c r="BP39" s="113" t="s">
        <v>29</v>
      </c>
      <c r="BQ39" s="113" t="s">
        <v>29</v>
      </c>
      <c r="BR39" s="113" t="s">
        <v>29</v>
      </c>
      <c r="BS39" s="113" t="s">
        <v>29</v>
      </c>
      <c r="BT39" s="113" t="s">
        <v>29</v>
      </c>
      <c r="BU39" s="107">
        <f>SUM(BI39:BS39)</f>
        <v>0</v>
      </c>
      <c r="BV39" s="113" t="s">
        <v>29</v>
      </c>
      <c r="BW39" s="113" t="s">
        <v>29</v>
      </c>
      <c r="BX39" s="113"/>
      <c r="BY39" s="113"/>
      <c r="BZ39" s="117"/>
      <c r="CA39" s="117"/>
      <c r="CB39" s="117"/>
      <c r="CC39" s="117"/>
      <c r="CD39" s="117"/>
      <c r="CE39" s="117"/>
      <c r="CF39" s="117"/>
      <c r="CG39" s="117"/>
      <c r="CH39" s="107">
        <f>SUM(BV39:BX39)</f>
        <v>0</v>
      </c>
      <c r="CI39" s="117"/>
      <c r="CJ39" s="117"/>
      <c r="CK39" s="117"/>
      <c r="CL39" s="107">
        <v>0</v>
      </c>
      <c r="CM39" s="107"/>
      <c r="CN39" s="107"/>
      <c r="CO39" s="107"/>
      <c r="CP39" s="107"/>
      <c r="CQ39" s="107"/>
      <c r="CR39" s="107"/>
      <c r="CS39" s="107"/>
      <c r="CT39" s="107"/>
      <c r="CU39" s="107"/>
      <c r="CV39" s="108"/>
      <c r="CW39" s="107"/>
      <c r="CX39" s="107"/>
      <c r="CY39" s="107"/>
      <c r="CZ39" s="107"/>
      <c r="DA39" s="112"/>
      <c r="DB39" s="112"/>
      <c r="DC39" s="112"/>
      <c r="DD39" s="112"/>
      <c r="DE39" s="112"/>
      <c r="DF39" s="112"/>
      <c r="DG39" s="112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5"/>
      <c r="FR39" s="14"/>
      <c r="FS39" s="13"/>
      <c r="FT39" s="13"/>
      <c r="FU39" s="13"/>
      <c r="FV39" s="13"/>
      <c r="FW39" s="14"/>
      <c r="FX39" s="14"/>
    </row>
    <row r="40" spans="1:180" ht="15.75">
      <c r="A40" s="63"/>
      <c r="B40" s="41"/>
      <c r="C40" s="41"/>
      <c r="D40" s="41"/>
      <c r="E40" s="90"/>
      <c r="F40" s="90"/>
      <c r="G40" s="90"/>
      <c r="H40" s="90"/>
      <c r="I40" s="90"/>
      <c r="J40" s="90"/>
      <c r="K40" s="90"/>
      <c r="L40" s="90"/>
      <c r="M40" s="125" t="s">
        <v>27</v>
      </c>
      <c r="N40" s="109" t="s">
        <v>27</v>
      </c>
      <c r="O40" s="110" t="s">
        <v>27</v>
      </c>
      <c r="P40" s="104"/>
      <c r="Q40" s="105"/>
      <c r="R40" s="105"/>
      <c r="S40" s="104"/>
      <c r="T40" s="104"/>
      <c r="U40" s="77"/>
      <c r="V40" s="77"/>
      <c r="W40" s="105"/>
      <c r="X40" s="105"/>
      <c r="Y40" s="106"/>
      <c r="Z40" s="105"/>
      <c r="AA40" s="105"/>
      <c r="AB40" s="105"/>
      <c r="AC40" s="106"/>
      <c r="AD40" s="105"/>
      <c r="AE40" s="106"/>
      <c r="AF40" s="105"/>
      <c r="AG40" s="105"/>
      <c r="AH40" s="106"/>
      <c r="AI40" s="106"/>
      <c r="AJ40" s="106"/>
      <c r="AK40" s="106"/>
      <c r="AL40" s="106"/>
      <c r="AM40" s="106"/>
      <c r="AN40" s="107"/>
      <c r="AO40" s="107"/>
      <c r="AP40" s="77"/>
      <c r="AQ40" s="107"/>
      <c r="AR40" s="113"/>
      <c r="AS40" s="77"/>
      <c r="AT40" s="77"/>
      <c r="AU40" s="107"/>
      <c r="AV40" s="77"/>
      <c r="AW40" s="77"/>
      <c r="AX40" s="107"/>
      <c r="AY40" s="105"/>
      <c r="AZ40" s="117"/>
      <c r="BA40" s="117"/>
      <c r="BB40" s="117"/>
      <c r="BC40" s="117"/>
      <c r="BD40" s="117"/>
      <c r="BE40" s="117"/>
      <c r="BF40" s="117"/>
      <c r="BG40" s="107"/>
      <c r="BH40" s="107"/>
      <c r="BI40" s="77"/>
      <c r="BJ40" s="117"/>
      <c r="BK40" s="77"/>
      <c r="BL40" s="77"/>
      <c r="BM40" s="113"/>
      <c r="BN40" s="77"/>
      <c r="BO40" s="77"/>
      <c r="BP40" s="77"/>
      <c r="BQ40" s="77"/>
      <c r="BR40" s="77"/>
      <c r="BS40" s="77"/>
      <c r="BT40" s="105"/>
      <c r="BU40" s="107"/>
      <c r="BV40" s="77"/>
      <c r="BW40" s="7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8"/>
      <c r="CW40" s="107"/>
      <c r="CX40" s="107"/>
      <c r="CY40" s="107"/>
      <c r="CZ40" s="107"/>
      <c r="DA40" s="112"/>
      <c r="DB40" s="112"/>
      <c r="DC40" s="112"/>
      <c r="DD40" s="112"/>
      <c r="DE40" s="112"/>
      <c r="DF40" s="112"/>
      <c r="DG40" s="112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3"/>
      <c r="FR40" s="13"/>
      <c r="FS40" s="15"/>
      <c r="FT40" s="14"/>
      <c r="FU40" s="14"/>
      <c r="FV40" s="14"/>
      <c r="FW40" s="14"/>
      <c r="FX40" s="14"/>
    </row>
    <row r="41" spans="1:180" ht="15.75">
      <c r="A41" s="319" t="s">
        <v>48</v>
      </c>
      <c r="B41" s="41"/>
      <c r="C41" s="41"/>
      <c r="D41" s="41"/>
      <c r="E41" s="90"/>
      <c r="F41" s="90"/>
      <c r="G41" s="90"/>
      <c r="H41" s="90"/>
      <c r="I41" s="90"/>
      <c r="J41" s="90"/>
      <c r="K41" s="90"/>
      <c r="L41" s="90"/>
      <c r="M41" s="90"/>
      <c r="N41" s="104"/>
      <c r="O41" s="105"/>
      <c r="P41" s="104"/>
      <c r="Q41" s="105"/>
      <c r="R41" s="105"/>
      <c r="S41" s="104"/>
      <c r="T41" s="104"/>
      <c r="U41" s="77"/>
      <c r="V41" s="77"/>
      <c r="W41" s="105"/>
      <c r="X41" s="105"/>
      <c r="Y41" s="106"/>
      <c r="Z41" s="105"/>
      <c r="AA41" s="105"/>
      <c r="AB41" s="105"/>
      <c r="AC41" s="106"/>
      <c r="AD41" s="105"/>
      <c r="AE41" s="106"/>
      <c r="AF41" s="105"/>
      <c r="AG41" s="105"/>
      <c r="AH41" s="106"/>
      <c r="AI41" s="106"/>
      <c r="AJ41" s="106"/>
      <c r="AK41" s="106"/>
      <c r="AL41" s="106"/>
      <c r="AM41" s="106"/>
      <c r="AN41" s="107"/>
      <c r="AO41" s="107"/>
      <c r="AP41" s="77"/>
      <c r="AQ41" s="107"/>
      <c r="AR41" s="113"/>
      <c r="AS41" s="77"/>
      <c r="AT41" s="77"/>
      <c r="AU41" s="107"/>
      <c r="AV41" s="77"/>
      <c r="AW41" s="77"/>
      <c r="AX41" s="107"/>
      <c r="AY41" s="105"/>
      <c r="AZ41" s="117"/>
      <c r="BA41" s="117"/>
      <c r="BB41" s="117"/>
      <c r="BC41" s="117"/>
      <c r="BD41" s="117"/>
      <c r="BE41" s="117"/>
      <c r="BF41" s="117"/>
      <c r="BG41" s="107"/>
      <c r="BH41" s="107"/>
      <c r="BI41" s="77"/>
      <c r="BJ41" s="107"/>
      <c r="BK41" s="77"/>
      <c r="BL41" s="77"/>
      <c r="BM41" s="113"/>
      <c r="BN41" s="77"/>
      <c r="BO41" s="77"/>
      <c r="BP41" s="77"/>
      <c r="BQ41" s="77"/>
      <c r="BR41" s="77"/>
      <c r="BS41" s="77"/>
      <c r="BT41" s="105"/>
      <c r="BU41" s="107"/>
      <c r="BV41" s="77"/>
      <c r="BW41" s="7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8"/>
      <c r="CW41" s="107"/>
      <c r="CX41" s="107"/>
      <c r="CY41" s="107"/>
      <c r="CZ41" s="107"/>
      <c r="DA41" s="112"/>
      <c r="DB41" s="112"/>
      <c r="DC41" s="112"/>
      <c r="DD41" s="112"/>
      <c r="DE41" s="112"/>
      <c r="DF41" s="112"/>
      <c r="DG41" s="112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3"/>
      <c r="FR41" s="13"/>
      <c r="FS41" s="13"/>
      <c r="FT41" s="13"/>
      <c r="FU41" s="13"/>
      <c r="FV41" s="13"/>
      <c r="FW41" s="12"/>
      <c r="FX41" s="14"/>
    </row>
    <row r="42" spans="1:180" ht="15.75">
      <c r="A42" s="319" t="s">
        <v>49</v>
      </c>
      <c r="B42" s="41"/>
      <c r="C42" s="41"/>
      <c r="D42" s="41"/>
      <c r="E42" s="90">
        <f aca="true" t="shared" si="39" ref="E42:P42">SUM(E44:E46)</f>
        <v>16178</v>
      </c>
      <c r="F42" s="90">
        <f t="shared" si="39"/>
        <v>16720</v>
      </c>
      <c r="G42" s="90">
        <f t="shared" si="39"/>
        <v>13374</v>
      </c>
      <c r="H42" s="90">
        <f t="shared" si="39"/>
        <v>19357</v>
      </c>
      <c r="I42" s="90">
        <f t="shared" si="39"/>
        <v>16846</v>
      </c>
      <c r="J42" s="90">
        <f t="shared" si="39"/>
        <v>13636</v>
      </c>
      <c r="K42" s="90">
        <f t="shared" si="39"/>
        <v>14104</v>
      </c>
      <c r="L42" s="90">
        <f t="shared" si="39"/>
        <v>15350</v>
      </c>
      <c r="M42" s="90">
        <f t="shared" si="39"/>
        <v>6184</v>
      </c>
      <c r="N42" s="104">
        <f t="shared" si="39"/>
        <v>2779</v>
      </c>
      <c r="O42" s="105">
        <f t="shared" si="39"/>
        <v>2830</v>
      </c>
      <c r="P42" s="104">
        <f t="shared" si="39"/>
        <v>9297</v>
      </c>
      <c r="Q42" s="105">
        <f>SUM(Q44:Q46)</f>
        <v>7473</v>
      </c>
      <c r="R42" s="105">
        <v>10134.808</v>
      </c>
      <c r="S42" s="104">
        <f aca="true" t="shared" si="40" ref="S42:AE42">SUM(S44:S46)</f>
        <v>1080</v>
      </c>
      <c r="T42" s="104">
        <f t="shared" si="40"/>
        <v>525</v>
      </c>
      <c r="U42" s="105">
        <f t="shared" si="40"/>
        <v>675</v>
      </c>
      <c r="V42" s="105">
        <f t="shared" si="40"/>
        <v>675</v>
      </c>
      <c r="W42" s="105">
        <f t="shared" si="40"/>
        <v>965</v>
      </c>
      <c r="X42" s="105">
        <f t="shared" si="40"/>
        <v>1182</v>
      </c>
      <c r="Y42" s="106">
        <f t="shared" si="40"/>
        <v>1272</v>
      </c>
      <c r="Z42" s="105">
        <f t="shared" si="40"/>
        <v>943</v>
      </c>
      <c r="AA42" s="105">
        <f t="shared" si="40"/>
        <v>554</v>
      </c>
      <c r="AB42" s="105">
        <f t="shared" si="40"/>
        <v>889</v>
      </c>
      <c r="AC42" s="105">
        <f t="shared" si="40"/>
        <v>476</v>
      </c>
      <c r="AD42" s="105">
        <f t="shared" si="40"/>
        <v>898.808</v>
      </c>
      <c r="AE42" s="106">
        <f t="shared" si="40"/>
        <v>10134.808</v>
      </c>
      <c r="AF42" s="105">
        <v>8864.03</v>
      </c>
      <c r="AG42" s="105">
        <v>12611</v>
      </c>
      <c r="AH42" s="106">
        <v>13649</v>
      </c>
      <c r="AI42" s="106">
        <v>10842</v>
      </c>
      <c r="AJ42" s="106">
        <v>17646</v>
      </c>
      <c r="AK42" s="106">
        <v>17177</v>
      </c>
      <c r="AL42" s="106">
        <v>20807.576999999997</v>
      </c>
      <c r="AM42" s="106">
        <v>18481.177</v>
      </c>
      <c r="AN42" s="106">
        <f aca="true" t="shared" si="41" ref="AN42:AY42">SUM(AN44:AN46)</f>
        <v>2000.425</v>
      </c>
      <c r="AO42" s="106">
        <f t="shared" si="41"/>
        <v>1330.307</v>
      </c>
      <c r="AP42" s="106">
        <f t="shared" si="41"/>
        <v>1340.018</v>
      </c>
      <c r="AQ42" s="106">
        <f t="shared" si="41"/>
        <v>1836.295</v>
      </c>
      <c r="AR42" s="106">
        <f t="shared" si="41"/>
        <v>571.938</v>
      </c>
      <c r="AS42" s="106">
        <f t="shared" si="41"/>
        <v>1505.654</v>
      </c>
      <c r="AT42" s="106">
        <f t="shared" si="41"/>
        <v>2173.058</v>
      </c>
      <c r="AU42" s="106">
        <f t="shared" si="41"/>
        <v>1538.974</v>
      </c>
      <c r="AV42" s="106">
        <f t="shared" si="41"/>
        <v>1389.23</v>
      </c>
      <c r="AW42" s="106">
        <f t="shared" si="41"/>
        <v>892.04</v>
      </c>
      <c r="AX42" s="106">
        <f t="shared" si="41"/>
        <v>1702.727</v>
      </c>
      <c r="AY42" s="105">
        <f t="shared" si="41"/>
        <v>2200.511</v>
      </c>
      <c r="AZ42" s="107">
        <f>SUM(AZ44:AZ47)</f>
        <v>18481.177</v>
      </c>
      <c r="BA42" s="107">
        <f>SUM(BA45:BA46)</f>
        <v>29958.833000000002</v>
      </c>
      <c r="BB42" s="107">
        <v>27469.279</v>
      </c>
      <c r="BC42" s="107">
        <v>19030.365</v>
      </c>
      <c r="BD42" s="107">
        <v>11371.037</v>
      </c>
      <c r="BE42" s="107">
        <v>7999.175999999999</v>
      </c>
      <c r="BF42" s="107">
        <v>10140.430999999999</v>
      </c>
      <c r="BG42" s="107">
        <v>2737.26</v>
      </c>
      <c r="BH42" s="107">
        <v>1163.846</v>
      </c>
      <c r="BI42" s="107">
        <f>SUM(BI45:BI46)</f>
        <v>1263.799</v>
      </c>
      <c r="BJ42" s="107">
        <f aca="true" t="shared" si="42" ref="BJ42:BU42">SUM(BJ44:BJ47)</f>
        <v>1803.553</v>
      </c>
      <c r="BK42" s="107">
        <f t="shared" si="42"/>
        <v>2917.366</v>
      </c>
      <c r="BL42" s="107">
        <f t="shared" si="42"/>
        <v>2333.02</v>
      </c>
      <c r="BM42" s="107">
        <f t="shared" si="42"/>
        <v>1999.356</v>
      </c>
      <c r="BN42" s="107">
        <f t="shared" si="42"/>
        <v>2740.2</v>
      </c>
      <c r="BO42" s="107">
        <f t="shared" si="42"/>
        <v>2504.054</v>
      </c>
      <c r="BP42" s="107">
        <f t="shared" si="42"/>
        <v>1850.873</v>
      </c>
      <c r="BQ42" s="107">
        <f t="shared" si="42"/>
        <v>3023.221</v>
      </c>
      <c r="BR42" s="107">
        <f t="shared" si="42"/>
        <v>3007.723</v>
      </c>
      <c r="BS42" s="107">
        <f t="shared" si="42"/>
        <v>3201.144</v>
      </c>
      <c r="BT42" s="107">
        <f t="shared" si="42"/>
        <v>3314.524</v>
      </c>
      <c r="BU42" s="107">
        <f t="shared" si="42"/>
        <v>29958.833000000002</v>
      </c>
      <c r="BV42" s="107">
        <f>SUM(BV44:BV47)</f>
        <v>2170.91</v>
      </c>
      <c r="BW42" s="107">
        <f>SUM(BW44:BW47)</f>
        <v>1773.502</v>
      </c>
      <c r="BX42" s="107">
        <f>SUM(BX44:BX47)</f>
        <v>2034.76</v>
      </c>
      <c r="BY42" s="107">
        <f aca="true" t="shared" si="43" ref="BY42:CG42">SUM(BY44:BY47)</f>
        <v>1900.02</v>
      </c>
      <c r="BZ42" s="107">
        <f t="shared" si="43"/>
        <v>388.625</v>
      </c>
      <c r="CA42" s="107">
        <f t="shared" si="43"/>
        <v>991.22</v>
      </c>
      <c r="CB42" s="107">
        <f t="shared" si="43"/>
        <v>1044.536</v>
      </c>
      <c r="CC42" s="107">
        <f t="shared" si="43"/>
        <v>1064.378</v>
      </c>
      <c r="CD42" s="107">
        <f t="shared" si="43"/>
        <v>3825.66</v>
      </c>
      <c r="CE42" s="107">
        <f t="shared" si="43"/>
        <v>3192.202</v>
      </c>
      <c r="CF42" s="107">
        <f t="shared" si="43"/>
        <v>4118.45</v>
      </c>
      <c r="CG42" s="107">
        <f t="shared" si="43"/>
        <v>4965.016</v>
      </c>
      <c r="CH42" s="107">
        <f>SUM(CH45:CH46)</f>
        <v>27469.279</v>
      </c>
      <c r="CI42" s="107">
        <f>SUM(CI45:CI46)</f>
        <v>3556.511</v>
      </c>
      <c r="CJ42" s="107">
        <f aca="true" t="shared" si="44" ref="CJ42:CU42">SUM(CJ45:CJ46)</f>
        <v>2752.002</v>
      </c>
      <c r="CK42" s="107">
        <f t="shared" si="44"/>
        <v>2139.698</v>
      </c>
      <c r="CL42" s="107">
        <f t="shared" si="44"/>
        <v>1582.721</v>
      </c>
      <c r="CM42" s="107">
        <f t="shared" si="44"/>
        <v>1168.626</v>
      </c>
      <c r="CN42" s="107">
        <f t="shared" si="44"/>
        <v>876.953</v>
      </c>
      <c r="CO42" s="107">
        <f t="shared" si="44"/>
        <v>922.236</v>
      </c>
      <c r="CP42" s="107">
        <f t="shared" si="44"/>
        <v>1258.473</v>
      </c>
      <c r="CQ42" s="107">
        <f t="shared" si="44"/>
        <v>1324.215</v>
      </c>
      <c r="CR42" s="107">
        <f t="shared" si="44"/>
        <v>1507.299</v>
      </c>
      <c r="CS42" s="107">
        <f t="shared" si="44"/>
        <v>982.364</v>
      </c>
      <c r="CT42" s="107">
        <f t="shared" si="44"/>
        <v>959.267</v>
      </c>
      <c r="CU42" s="77">
        <f t="shared" si="44"/>
        <v>19030.365</v>
      </c>
      <c r="CV42" s="107">
        <f aca="true" t="shared" si="45" ref="CV42:DG42">SUM(CV45:CV46)</f>
        <v>1448.605</v>
      </c>
      <c r="CW42" s="107">
        <f t="shared" si="45"/>
        <v>389.746</v>
      </c>
      <c r="CX42" s="107">
        <f t="shared" si="45"/>
        <v>974.85</v>
      </c>
      <c r="CY42" s="107">
        <f t="shared" si="45"/>
        <v>756.993</v>
      </c>
      <c r="CZ42" s="107">
        <f t="shared" si="45"/>
        <v>935.45</v>
      </c>
      <c r="DA42" s="107">
        <f t="shared" si="45"/>
        <v>1141.16</v>
      </c>
      <c r="DB42" s="107">
        <f t="shared" si="45"/>
        <v>855.672</v>
      </c>
      <c r="DC42" s="107">
        <f t="shared" si="45"/>
        <v>617.503</v>
      </c>
      <c r="DD42" s="107">
        <f t="shared" si="45"/>
        <v>504.52</v>
      </c>
      <c r="DE42" s="107">
        <f t="shared" si="45"/>
        <v>1947.95</v>
      </c>
      <c r="DF42" s="107">
        <f t="shared" si="45"/>
        <v>1065.5</v>
      </c>
      <c r="DG42" s="107">
        <f t="shared" si="45"/>
        <v>733.088</v>
      </c>
      <c r="DH42" s="108">
        <f aca="true" t="shared" si="46" ref="DH42:DM42">SUM(DH45:DH46)</f>
        <v>11371.037</v>
      </c>
      <c r="DI42" s="108">
        <f t="shared" si="46"/>
        <v>1020.83</v>
      </c>
      <c r="DJ42" s="108">
        <f t="shared" si="46"/>
        <v>936.438</v>
      </c>
      <c r="DK42" s="108">
        <f t="shared" si="46"/>
        <v>297.682</v>
      </c>
      <c r="DL42" s="108">
        <f t="shared" si="46"/>
        <v>976.917</v>
      </c>
      <c r="DM42" s="108">
        <f t="shared" si="46"/>
        <v>72.4</v>
      </c>
      <c r="DN42" s="108">
        <f aca="true" t="shared" si="47" ref="DN42:DS42">SUM(DN45:DN46)</f>
        <v>459.73</v>
      </c>
      <c r="DO42" s="108">
        <f t="shared" si="47"/>
        <v>453.688</v>
      </c>
      <c r="DP42" s="108">
        <f t="shared" si="47"/>
        <v>843.852</v>
      </c>
      <c r="DQ42" s="108">
        <f t="shared" si="47"/>
        <v>335.34</v>
      </c>
      <c r="DR42" s="108">
        <f t="shared" si="47"/>
        <v>1138.351</v>
      </c>
      <c r="DS42" s="108">
        <f t="shared" si="47"/>
        <v>998.4000000000001</v>
      </c>
      <c r="DT42" s="107">
        <f aca="true" t="shared" si="48" ref="DT42:FP42">SUM(DT45:DT46)</f>
        <v>465.548</v>
      </c>
      <c r="DU42" s="108">
        <f t="shared" si="48"/>
        <v>7999.175999999999</v>
      </c>
      <c r="DV42" s="108">
        <f t="shared" si="48"/>
        <v>1782.867</v>
      </c>
      <c r="DW42" s="108">
        <f t="shared" si="48"/>
        <v>747.162</v>
      </c>
      <c r="DX42" s="108">
        <f t="shared" si="48"/>
        <v>1392.286</v>
      </c>
      <c r="DY42" s="108">
        <f t="shared" si="48"/>
        <v>361.81</v>
      </c>
      <c r="DZ42" s="108">
        <f t="shared" si="48"/>
        <v>786.454</v>
      </c>
      <c r="EA42" s="108">
        <f t="shared" si="48"/>
        <v>514.244</v>
      </c>
      <c r="EB42" s="108">
        <f t="shared" si="48"/>
        <v>1373.673</v>
      </c>
      <c r="EC42" s="108">
        <f t="shared" si="48"/>
        <v>617.642</v>
      </c>
      <c r="ED42" s="108">
        <f t="shared" si="48"/>
        <v>673.258</v>
      </c>
      <c r="EE42" s="108">
        <f>SUM(EE45:EE46)</f>
        <v>963.085</v>
      </c>
      <c r="EF42" s="108">
        <f>SUM(EF45:EF46)</f>
        <v>446.299</v>
      </c>
      <c r="EG42" s="108">
        <f>SUM(EG45:EG46)</f>
        <v>481.651</v>
      </c>
      <c r="EH42" s="108">
        <f t="shared" si="48"/>
        <v>10140.430999999999</v>
      </c>
      <c r="EI42" s="108">
        <f t="shared" si="48"/>
        <v>675.061</v>
      </c>
      <c r="EJ42" s="108">
        <f t="shared" si="48"/>
        <v>584.514</v>
      </c>
      <c r="EK42" s="108">
        <f t="shared" si="48"/>
        <v>190.865</v>
      </c>
      <c r="EL42" s="108">
        <f t="shared" si="48"/>
        <v>74.125</v>
      </c>
      <c r="EM42" s="108">
        <f t="shared" si="48"/>
        <v>144.31</v>
      </c>
      <c r="EN42" s="108">
        <f t="shared" si="48"/>
        <v>228.54</v>
      </c>
      <c r="EO42" s="108">
        <f t="shared" si="48"/>
        <v>251.418</v>
      </c>
      <c r="EP42" s="108">
        <f t="shared" si="48"/>
        <v>162.065</v>
      </c>
      <c r="EQ42" s="108">
        <f t="shared" si="48"/>
        <v>61.03</v>
      </c>
      <c r="ER42" s="108">
        <f t="shared" si="48"/>
        <v>78.109</v>
      </c>
      <c r="ES42" s="108">
        <f t="shared" si="48"/>
        <v>201.343</v>
      </c>
      <c r="ET42" s="108">
        <f t="shared" si="48"/>
        <v>85.88</v>
      </c>
      <c r="EU42" s="108">
        <f t="shared" si="48"/>
        <v>2737.26</v>
      </c>
      <c r="EV42" s="108">
        <f t="shared" si="48"/>
        <v>117.775</v>
      </c>
      <c r="EW42" s="108">
        <f t="shared" si="48"/>
        <v>106.641</v>
      </c>
      <c r="EX42" s="108">
        <f t="shared" si="48"/>
        <v>51.282</v>
      </c>
      <c r="EY42" s="108">
        <f t="shared" si="48"/>
        <v>26.55</v>
      </c>
      <c r="EZ42" s="108">
        <f t="shared" si="48"/>
        <v>101.75</v>
      </c>
      <c r="FA42" s="108">
        <f t="shared" si="48"/>
        <v>119.826</v>
      </c>
      <c r="FB42" s="108">
        <f t="shared" si="48"/>
        <v>59.7</v>
      </c>
      <c r="FC42" s="108">
        <f t="shared" si="48"/>
        <v>157.063</v>
      </c>
      <c r="FD42" s="108">
        <f t="shared" si="48"/>
        <v>58.745</v>
      </c>
      <c r="FE42" s="108">
        <f t="shared" si="48"/>
        <v>54.62</v>
      </c>
      <c r="FF42" s="108">
        <f t="shared" si="48"/>
        <v>42.716</v>
      </c>
      <c r="FG42" s="108">
        <f t="shared" si="48"/>
        <v>267.178</v>
      </c>
      <c r="FH42" s="108">
        <f aca="true" t="shared" si="49" ref="FH42:FO42">SUM(FH45:FH46)</f>
        <v>583.524</v>
      </c>
      <c r="FI42" s="108">
        <f t="shared" si="49"/>
        <v>118.65</v>
      </c>
      <c r="FJ42" s="108">
        <f t="shared" si="49"/>
        <v>131.054</v>
      </c>
      <c r="FK42" s="108">
        <f t="shared" si="49"/>
        <v>353.8</v>
      </c>
      <c r="FL42" s="108">
        <f t="shared" si="49"/>
        <v>1094.211</v>
      </c>
      <c r="FM42" s="108">
        <f t="shared" si="49"/>
        <v>777.104</v>
      </c>
      <c r="FN42" s="108">
        <f t="shared" si="49"/>
        <v>827.16</v>
      </c>
      <c r="FO42" s="108">
        <f t="shared" si="49"/>
        <v>960.943</v>
      </c>
      <c r="FP42" s="108">
        <f t="shared" si="48"/>
        <v>4262.9220000000005</v>
      </c>
      <c r="FQ42" s="12"/>
      <c r="FR42" s="12"/>
      <c r="FS42" s="13"/>
      <c r="FT42" s="13"/>
      <c r="FU42" s="13"/>
      <c r="FV42" s="13"/>
      <c r="FW42" s="12"/>
      <c r="FX42" s="14"/>
    </row>
    <row r="43" spans="1:180" ht="15.75">
      <c r="A43" s="63"/>
      <c r="B43" s="41"/>
      <c r="C43" s="41"/>
      <c r="D43" s="41"/>
      <c r="E43" s="90"/>
      <c r="F43" s="90"/>
      <c r="G43" s="90"/>
      <c r="H43" s="90"/>
      <c r="I43" s="90"/>
      <c r="J43" s="90"/>
      <c r="K43" s="90"/>
      <c r="L43" s="90"/>
      <c r="M43" s="125" t="s">
        <v>27</v>
      </c>
      <c r="N43" s="109" t="s">
        <v>27</v>
      </c>
      <c r="O43" s="110" t="s">
        <v>27</v>
      </c>
      <c r="P43" s="104"/>
      <c r="Q43" s="105"/>
      <c r="R43" s="105"/>
      <c r="S43" s="104"/>
      <c r="T43" s="104"/>
      <c r="U43" s="77"/>
      <c r="V43" s="77"/>
      <c r="W43" s="105"/>
      <c r="X43" s="105"/>
      <c r="Y43" s="106"/>
      <c r="Z43" s="105"/>
      <c r="AA43" s="105"/>
      <c r="AB43" s="105"/>
      <c r="AC43" s="106"/>
      <c r="AD43" s="105"/>
      <c r="AE43" s="106"/>
      <c r="AF43" s="105"/>
      <c r="AG43" s="105"/>
      <c r="AH43" s="106"/>
      <c r="AI43" s="106"/>
      <c r="AJ43" s="106"/>
      <c r="AK43" s="106"/>
      <c r="AL43" s="106"/>
      <c r="AM43" s="106"/>
      <c r="AN43" s="107"/>
      <c r="AO43" s="107"/>
      <c r="AP43" s="77"/>
      <c r="AQ43" s="107"/>
      <c r="AR43" s="113"/>
      <c r="AS43" s="77"/>
      <c r="AT43" s="77"/>
      <c r="AU43" s="107"/>
      <c r="AV43" s="77"/>
      <c r="AW43" s="77"/>
      <c r="AX43" s="107"/>
      <c r="AY43" s="105"/>
      <c r="AZ43" s="117"/>
      <c r="BA43" s="117"/>
      <c r="BB43" s="117"/>
      <c r="BC43" s="117"/>
      <c r="BD43" s="117"/>
      <c r="BE43" s="117"/>
      <c r="BF43" s="117"/>
      <c r="BG43" s="107"/>
      <c r="BH43" s="107"/>
      <c r="BI43" s="77"/>
      <c r="BJ43" s="107"/>
      <c r="BK43" s="77"/>
      <c r="BL43" s="77"/>
      <c r="BM43" s="113"/>
      <c r="BN43" s="77"/>
      <c r="BO43" s="77"/>
      <c r="BP43" s="77"/>
      <c r="BQ43" s="77"/>
      <c r="BR43" s="77"/>
      <c r="BS43" s="77"/>
      <c r="BT43" s="105"/>
      <c r="BU43" s="107"/>
      <c r="BV43" s="77"/>
      <c r="BW43" s="7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8"/>
      <c r="CW43" s="107"/>
      <c r="CX43" s="107"/>
      <c r="CY43" s="107"/>
      <c r="CZ43" s="107"/>
      <c r="DA43" s="112"/>
      <c r="DB43" s="112"/>
      <c r="DC43" s="112"/>
      <c r="DD43" s="112"/>
      <c r="DE43" s="112"/>
      <c r="DF43" s="112"/>
      <c r="DG43" s="112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3"/>
      <c r="FR43" s="13"/>
      <c r="FS43" s="12"/>
      <c r="FT43" s="12"/>
      <c r="FU43" s="12"/>
      <c r="FV43" s="12"/>
      <c r="FW43" s="12"/>
      <c r="FX43" s="12"/>
    </row>
    <row r="44" spans="1:180" ht="15.75" customHeight="1" hidden="1">
      <c r="A44" s="103" t="s">
        <v>50</v>
      </c>
      <c r="B44" s="41"/>
      <c r="C44" s="41"/>
      <c r="D44" s="41"/>
      <c r="E44" s="90">
        <v>4781</v>
      </c>
      <c r="F44" s="90">
        <v>4961</v>
      </c>
      <c r="G44" s="90">
        <v>4041</v>
      </c>
      <c r="H44" s="90">
        <v>4301</v>
      </c>
      <c r="I44" s="90">
        <v>4334</v>
      </c>
      <c r="J44" s="90">
        <v>2345</v>
      </c>
      <c r="K44" s="90">
        <v>4221</v>
      </c>
      <c r="L44" s="90">
        <v>6917</v>
      </c>
      <c r="M44" s="90">
        <v>1433</v>
      </c>
      <c r="N44" s="114" t="s">
        <v>29</v>
      </c>
      <c r="O44" s="113" t="s">
        <v>29</v>
      </c>
      <c r="P44" s="114" t="s">
        <v>29</v>
      </c>
      <c r="Q44" s="113" t="s">
        <v>29</v>
      </c>
      <c r="R44" s="116" t="s">
        <v>29</v>
      </c>
      <c r="S44" s="126" t="s">
        <v>29</v>
      </c>
      <c r="T44" s="126" t="s">
        <v>29</v>
      </c>
      <c r="U44" s="116" t="s">
        <v>29</v>
      </c>
      <c r="V44" s="116" t="s">
        <v>29</v>
      </c>
      <c r="W44" s="116" t="s">
        <v>29</v>
      </c>
      <c r="X44" s="116" t="s">
        <v>29</v>
      </c>
      <c r="Y44" s="124" t="s">
        <v>29</v>
      </c>
      <c r="Z44" s="116" t="s">
        <v>29</v>
      </c>
      <c r="AA44" s="126"/>
      <c r="AB44" s="126" t="s">
        <v>29</v>
      </c>
      <c r="AC44" s="124" t="s">
        <v>29</v>
      </c>
      <c r="AD44" s="116" t="s">
        <v>29</v>
      </c>
      <c r="AE44" s="106">
        <f>SUM(S44:Z44)</f>
        <v>0</v>
      </c>
      <c r="AF44" s="105">
        <v>0</v>
      </c>
      <c r="AG44" s="105"/>
      <c r="AH44" s="106"/>
      <c r="AI44" s="106"/>
      <c r="AJ44" s="106"/>
      <c r="AK44" s="106"/>
      <c r="AL44" s="106"/>
      <c r="AM44" s="106"/>
      <c r="AN44" s="107"/>
      <c r="AO44" s="107"/>
      <c r="AP44" s="77"/>
      <c r="AQ44" s="107"/>
      <c r="AR44" s="113"/>
      <c r="AS44" s="77"/>
      <c r="AT44" s="77"/>
      <c r="AU44" s="45"/>
      <c r="AV44" s="45"/>
      <c r="AW44" s="45"/>
      <c r="AX44" s="107"/>
      <c r="AY44" s="105"/>
      <c r="AZ44" s="117"/>
      <c r="BA44" s="117"/>
      <c r="BB44" s="117">
        <v>0</v>
      </c>
      <c r="BC44" s="117"/>
      <c r="BD44" s="117"/>
      <c r="BE44" s="117"/>
      <c r="BF44" s="117"/>
      <c r="BG44" s="107"/>
      <c r="BH44" s="107"/>
      <c r="BI44" s="77"/>
      <c r="BJ44" s="107"/>
      <c r="BK44" s="77"/>
      <c r="BL44" s="77"/>
      <c r="BM44" s="113"/>
      <c r="BN44" s="77"/>
      <c r="BO44" s="77"/>
      <c r="BP44" s="77"/>
      <c r="BQ44" s="77"/>
      <c r="BR44" s="77"/>
      <c r="BS44" s="77"/>
      <c r="BT44" s="105"/>
      <c r="BU44" s="107">
        <f>SUM(BI44:BS44)</f>
        <v>0</v>
      </c>
      <c r="BV44" s="77"/>
      <c r="BW44" s="7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>
        <f>SUM(BV44:BX44)</f>
        <v>0</v>
      </c>
      <c r="CI44" s="107"/>
      <c r="CJ44" s="107"/>
      <c r="CK44" s="107"/>
      <c r="CL44" s="107" t="e">
        <f>AVERAGE(CI44:CK44)</f>
        <v>#DIV/0!</v>
      </c>
      <c r="CM44" s="107"/>
      <c r="CN44" s="107"/>
      <c r="CO44" s="107"/>
      <c r="CP44" s="107"/>
      <c r="CQ44" s="107"/>
      <c r="CR44" s="107"/>
      <c r="CS44" s="107"/>
      <c r="CT44" s="107"/>
      <c r="CU44" s="107"/>
      <c r="CV44" s="108"/>
      <c r="CW44" s="107"/>
      <c r="CX44" s="107"/>
      <c r="CY44" s="107"/>
      <c r="CZ44" s="107"/>
      <c r="DA44" s="127"/>
      <c r="DB44" s="127"/>
      <c r="DC44" s="127"/>
      <c r="DD44" s="127"/>
      <c r="DE44" s="127"/>
      <c r="DF44" s="127"/>
      <c r="DG44" s="127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3"/>
      <c r="FR44" s="13"/>
      <c r="FS44" s="13"/>
      <c r="FT44" s="13"/>
      <c r="FU44" s="13"/>
      <c r="FV44" s="13"/>
      <c r="FW44" s="12"/>
      <c r="FX44" s="14"/>
    </row>
    <row r="45" spans="1:180" ht="15.75">
      <c r="A45" s="103" t="s">
        <v>51</v>
      </c>
      <c r="B45" s="41"/>
      <c r="C45" s="41"/>
      <c r="D45" s="41"/>
      <c r="E45" s="90">
        <v>187</v>
      </c>
      <c r="F45" s="90">
        <v>363</v>
      </c>
      <c r="G45" s="90">
        <v>519</v>
      </c>
      <c r="H45" s="90">
        <v>712</v>
      </c>
      <c r="I45" s="90">
        <v>767</v>
      </c>
      <c r="J45" s="90">
        <v>573</v>
      </c>
      <c r="K45" s="90">
        <v>517</v>
      </c>
      <c r="L45" s="90">
        <v>618</v>
      </c>
      <c r="M45" s="90">
        <v>989</v>
      </c>
      <c r="N45" s="104">
        <v>537</v>
      </c>
      <c r="O45" s="105">
        <v>429</v>
      </c>
      <c r="P45" s="104">
        <v>2333</v>
      </c>
      <c r="Q45" s="105">
        <v>673</v>
      </c>
      <c r="R45" s="105">
        <v>1298.215</v>
      </c>
      <c r="S45" s="104">
        <v>161</v>
      </c>
      <c r="T45" s="104">
        <v>18</v>
      </c>
      <c r="U45" s="77">
        <v>43</v>
      </c>
      <c r="V45" s="77">
        <v>41</v>
      </c>
      <c r="W45" s="105">
        <v>128</v>
      </c>
      <c r="X45" s="105">
        <v>63</v>
      </c>
      <c r="Y45" s="106">
        <v>41</v>
      </c>
      <c r="Z45" s="105">
        <v>178</v>
      </c>
      <c r="AA45" s="105">
        <v>186</v>
      </c>
      <c r="AB45" s="105">
        <v>202</v>
      </c>
      <c r="AC45" s="106">
        <v>30</v>
      </c>
      <c r="AD45" s="105">
        <v>207.215</v>
      </c>
      <c r="AE45" s="106">
        <f>SUM(S45:AD45)</f>
        <v>1298.215</v>
      </c>
      <c r="AF45" s="105">
        <v>1877.255</v>
      </c>
      <c r="AG45" s="105">
        <v>611</v>
      </c>
      <c r="AH45" s="117" t="s">
        <v>29</v>
      </c>
      <c r="AI45" s="113" t="s">
        <v>29</v>
      </c>
      <c r="AJ45" s="113" t="s">
        <v>29</v>
      </c>
      <c r="AK45" s="113">
        <v>110</v>
      </c>
      <c r="AL45" s="111" t="s">
        <v>29</v>
      </c>
      <c r="AM45" s="220">
        <v>0</v>
      </c>
      <c r="AN45" s="111" t="s">
        <v>29</v>
      </c>
      <c r="AO45" s="111" t="s">
        <v>29</v>
      </c>
      <c r="AP45" s="111" t="s">
        <v>29</v>
      </c>
      <c r="AQ45" s="111" t="s">
        <v>29</v>
      </c>
      <c r="AR45" s="111" t="s">
        <v>29</v>
      </c>
      <c r="AS45" s="111" t="s">
        <v>29</v>
      </c>
      <c r="AT45" s="111" t="s">
        <v>29</v>
      </c>
      <c r="AU45" s="111" t="s">
        <v>29</v>
      </c>
      <c r="AV45" s="111" t="s">
        <v>29</v>
      </c>
      <c r="AW45" s="111" t="s">
        <v>29</v>
      </c>
      <c r="AX45" s="111" t="s">
        <v>29</v>
      </c>
      <c r="AY45" s="111" t="s">
        <v>29</v>
      </c>
      <c r="AZ45" s="111" t="s">
        <v>29</v>
      </c>
      <c r="BA45" s="220">
        <v>0</v>
      </c>
      <c r="BB45" s="113">
        <v>197.51</v>
      </c>
      <c r="BC45" s="220">
        <v>0</v>
      </c>
      <c r="BD45" s="220">
        <v>0</v>
      </c>
      <c r="BE45" s="220">
        <v>0</v>
      </c>
      <c r="BF45" s="220">
        <v>0</v>
      </c>
      <c r="BG45" s="107">
        <v>0</v>
      </c>
      <c r="BH45" s="107">
        <v>0</v>
      </c>
      <c r="BI45" s="113" t="s">
        <v>29</v>
      </c>
      <c r="BJ45" s="113" t="s">
        <v>29</v>
      </c>
      <c r="BK45" s="113" t="s">
        <v>29</v>
      </c>
      <c r="BL45" s="113" t="s">
        <v>29</v>
      </c>
      <c r="BM45" s="113" t="s">
        <v>29</v>
      </c>
      <c r="BN45" s="113" t="s">
        <v>29</v>
      </c>
      <c r="BO45" s="113" t="s">
        <v>29</v>
      </c>
      <c r="BP45" s="113" t="s">
        <v>29</v>
      </c>
      <c r="BQ45" s="113" t="s">
        <v>29</v>
      </c>
      <c r="BR45" s="113" t="s">
        <v>29</v>
      </c>
      <c r="BS45" s="113" t="s">
        <v>29</v>
      </c>
      <c r="BT45" s="113" t="s">
        <v>29</v>
      </c>
      <c r="BU45" s="113" t="s">
        <v>29</v>
      </c>
      <c r="BV45" s="105">
        <v>197.51</v>
      </c>
      <c r="BW45" s="113" t="s">
        <v>29</v>
      </c>
      <c r="BX45" s="113" t="s">
        <v>29</v>
      </c>
      <c r="BY45" s="113" t="s">
        <v>29</v>
      </c>
      <c r="BZ45" s="113" t="s">
        <v>29</v>
      </c>
      <c r="CA45" s="113" t="s">
        <v>29</v>
      </c>
      <c r="CB45" s="113" t="s">
        <v>29</v>
      </c>
      <c r="CC45" s="113" t="s">
        <v>29</v>
      </c>
      <c r="CD45" s="113" t="s">
        <v>29</v>
      </c>
      <c r="CE45" s="113" t="s">
        <v>29</v>
      </c>
      <c r="CF45" s="113" t="s">
        <v>29</v>
      </c>
      <c r="CG45" s="113" t="s">
        <v>29</v>
      </c>
      <c r="CH45" s="107">
        <f>SUM(BV45:CG45)</f>
        <v>197.51</v>
      </c>
      <c r="CI45" s="132">
        <v>0</v>
      </c>
      <c r="CJ45" s="132">
        <v>0</v>
      </c>
      <c r="CK45" s="133" t="s">
        <v>29</v>
      </c>
      <c r="CL45" s="132">
        <v>0</v>
      </c>
      <c r="CM45" s="132">
        <v>0</v>
      </c>
      <c r="CN45" s="132">
        <v>0</v>
      </c>
      <c r="CO45" s="132">
        <v>0</v>
      </c>
      <c r="CP45" s="113" t="s">
        <v>29</v>
      </c>
      <c r="CQ45" s="113" t="s">
        <v>29</v>
      </c>
      <c r="CR45" s="113" t="s">
        <v>29</v>
      </c>
      <c r="CS45" s="113" t="s">
        <v>29</v>
      </c>
      <c r="CT45" s="111" t="s">
        <v>29</v>
      </c>
      <c r="CU45" s="111" t="s">
        <v>29</v>
      </c>
      <c r="CV45" s="111" t="s">
        <v>29</v>
      </c>
      <c r="CW45" s="111" t="s">
        <v>29</v>
      </c>
      <c r="CX45" s="111" t="s">
        <v>29</v>
      </c>
      <c r="CY45" s="111" t="s">
        <v>29</v>
      </c>
      <c r="CZ45" s="111" t="s">
        <v>29</v>
      </c>
      <c r="DA45" s="111" t="s">
        <v>29</v>
      </c>
      <c r="DB45" s="111" t="s">
        <v>29</v>
      </c>
      <c r="DC45" s="111" t="s">
        <v>29</v>
      </c>
      <c r="DD45" s="113" t="s">
        <v>29</v>
      </c>
      <c r="DE45" s="113" t="s">
        <v>29</v>
      </c>
      <c r="DF45" s="111" t="s">
        <v>29</v>
      </c>
      <c r="DG45" s="111" t="s">
        <v>29</v>
      </c>
      <c r="DH45" s="111" t="s">
        <v>29</v>
      </c>
      <c r="DI45" s="111" t="s">
        <v>29</v>
      </c>
      <c r="DJ45" s="220">
        <v>0</v>
      </c>
      <c r="DK45" s="220">
        <v>0</v>
      </c>
      <c r="DL45" s="220">
        <v>0</v>
      </c>
      <c r="DM45" s="111" t="s">
        <v>29</v>
      </c>
      <c r="DN45" s="111" t="s">
        <v>29</v>
      </c>
      <c r="DO45" s="220">
        <v>0</v>
      </c>
      <c r="DP45" s="111" t="s">
        <v>29</v>
      </c>
      <c r="DQ45" s="111" t="s">
        <v>29</v>
      </c>
      <c r="DR45" s="208">
        <v>0</v>
      </c>
      <c r="DS45" s="208"/>
      <c r="DT45" s="208"/>
      <c r="DU45" s="220">
        <v>0</v>
      </c>
      <c r="DV45" s="220">
        <v>0</v>
      </c>
      <c r="DW45" s="220">
        <v>0</v>
      </c>
      <c r="DX45" s="220">
        <v>0</v>
      </c>
      <c r="DY45" s="220">
        <v>0</v>
      </c>
      <c r="DZ45" s="220">
        <v>0</v>
      </c>
      <c r="EA45" s="220">
        <v>0</v>
      </c>
      <c r="EB45" s="220">
        <v>0</v>
      </c>
      <c r="EC45" s="111" t="s">
        <v>29</v>
      </c>
      <c r="ED45" s="220">
        <v>0</v>
      </c>
      <c r="EE45" s="220">
        <v>0</v>
      </c>
      <c r="EF45" s="220">
        <v>0</v>
      </c>
      <c r="EG45" s="220">
        <v>0</v>
      </c>
      <c r="EH45" s="220">
        <v>0</v>
      </c>
      <c r="EI45" s="220">
        <v>0</v>
      </c>
      <c r="EJ45" s="220">
        <v>0</v>
      </c>
      <c r="EK45" s="220">
        <v>0</v>
      </c>
      <c r="EL45" s="220">
        <v>0</v>
      </c>
      <c r="EM45" s="220">
        <v>0</v>
      </c>
      <c r="EN45" s="220">
        <v>0</v>
      </c>
      <c r="EO45" s="220">
        <v>0</v>
      </c>
      <c r="EP45" s="220">
        <v>0</v>
      </c>
      <c r="EQ45" s="220">
        <v>0</v>
      </c>
      <c r="ER45" s="220">
        <v>0</v>
      </c>
      <c r="ES45" s="220">
        <v>0</v>
      </c>
      <c r="ET45" s="220">
        <v>0</v>
      </c>
      <c r="EU45" s="220">
        <v>0</v>
      </c>
      <c r="EV45" s="220">
        <v>0</v>
      </c>
      <c r="EW45" s="220">
        <v>0</v>
      </c>
      <c r="EX45" s="220">
        <v>0</v>
      </c>
      <c r="EY45" s="220">
        <v>0</v>
      </c>
      <c r="EZ45" s="248">
        <v>0</v>
      </c>
      <c r="FA45" s="248">
        <v>0</v>
      </c>
      <c r="FB45" s="248">
        <v>0</v>
      </c>
      <c r="FC45" s="248">
        <v>0</v>
      </c>
      <c r="FD45" s="248">
        <v>0</v>
      </c>
      <c r="FE45" s="220">
        <v>0</v>
      </c>
      <c r="FF45" s="220">
        <v>0</v>
      </c>
      <c r="FG45" s="220">
        <v>0</v>
      </c>
      <c r="FH45" s="248">
        <v>0</v>
      </c>
      <c r="FI45" s="248">
        <v>0</v>
      </c>
      <c r="FJ45" s="248">
        <v>0</v>
      </c>
      <c r="FK45" s="248">
        <v>0</v>
      </c>
      <c r="FL45" s="248">
        <v>0</v>
      </c>
      <c r="FM45" s="248">
        <v>0</v>
      </c>
      <c r="FN45" s="248">
        <v>0</v>
      </c>
      <c r="FO45" s="248">
        <v>0</v>
      </c>
      <c r="FP45" s="248">
        <v>0</v>
      </c>
      <c r="FQ45" s="14"/>
      <c r="FR45" s="14"/>
      <c r="FS45" s="13"/>
      <c r="FT45" s="13"/>
      <c r="FU45" s="13"/>
      <c r="FV45" s="13"/>
      <c r="FW45" s="12"/>
      <c r="FX45" s="14"/>
    </row>
    <row r="46" spans="1:180" ht="15.75">
      <c r="A46" s="134" t="s">
        <v>52</v>
      </c>
      <c r="B46" s="41"/>
      <c r="C46" s="41"/>
      <c r="D46" s="41"/>
      <c r="E46" s="90">
        <v>11210</v>
      </c>
      <c r="F46" s="90">
        <v>11396</v>
      </c>
      <c r="G46" s="90">
        <v>8814</v>
      </c>
      <c r="H46" s="90">
        <v>14344</v>
      </c>
      <c r="I46" s="90">
        <v>11745</v>
      </c>
      <c r="J46" s="90">
        <v>10718</v>
      </c>
      <c r="K46" s="90">
        <v>9366</v>
      </c>
      <c r="L46" s="90">
        <v>7815</v>
      </c>
      <c r="M46" s="90">
        <v>3762</v>
      </c>
      <c r="N46" s="104">
        <v>2242</v>
      </c>
      <c r="O46" s="105">
        <v>2401</v>
      </c>
      <c r="P46" s="104">
        <v>6964</v>
      </c>
      <c r="Q46" s="105">
        <v>6800</v>
      </c>
      <c r="R46" s="105">
        <v>8836.593</v>
      </c>
      <c r="S46" s="104">
        <v>919</v>
      </c>
      <c r="T46" s="104">
        <f>413+94</f>
        <v>507</v>
      </c>
      <c r="U46" s="77">
        <v>632</v>
      </c>
      <c r="V46" s="77">
        <f>249+385</f>
        <v>634</v>
      </c>
      <c r="W46" s="105">
        <v>837</v>
      </c>
      <c r="X46" s="105">
        <f>1076+43</f>
        <v>1119</v>
      </c>
      <c r="Y46" s="106">
        <f>1193+38</f>
        <v>1231</v>
      </c>
      <c r="Z46" s="105">
        <f>689+76</f>
        <v>765</v>
      </c>
      <c r="AA46" s="105">
        <v>368</v>
      </c>
      <c r="AB46" s="105">
        <v>687</v>
      </c>
      <c r="AC46" s="106">
        <f>436+10</f>
        <v>446</v>
      </c>
      <c r="AD46" s="105">
        <f>614.365+77.228</f>
        <v>691.593</v>
      </c>
      <c r="AE46" s="106">
        <f>SUM(S46:AD46)</f>
        <v>8836.593</v>
      </c>
      <c r="AF46" s="105">
        <v>6986.775000000001</v>
      </c>
      <c r="AG46" s="105">
        <v>11999</v>
      </c>
      <c r="AH46" s="106">
        <v>13649</v>
      </c>
      <c r="AI46" s="106">
        <v>10842</v>
      </c>
      <c r="AJ46" s="106">
        <v>17646</v>
      </c>
      <c r="AK46" s="106">
        <v>17068</v>
      </c>
      <c r="AL46" s="106">
        <v>20807.576999999997</v>
      </c>
      <c r="AM46" s="106">
        <v>18481.177</v>
      </c>
      <c r="AN46" s="113">
        <v>2000.425</v>
      </c>
      <c r="AO46" s="77">
        <v>1330.307</v>
      </c>
      <c r="AP46" s="77">
        <v>1340.018</v>
      </c>
      <c r="AQ46" s="77">
        <v>1836.295</v>
      </c>
      <c r="AR46" s="113">
        <v>571.938</v>
      </c>
      <c r="AS46" s="77">
        <v>1505.654</v>
      </c>
      <c r="AT46" s="77">
        <v>2173.058</v>
      </c>
      <c r="AU46" s="77">
        <v>1538.974</v>
      </c>
      <c r="AV46" s="77">
        <v>1389.23</v>
      </c>
      <c r="AW46" s="77">
        <v>892.04</v>
      </c>
      <c r="AX46" s="77">
        <v>1702.727</v>
      </c>
      <c r="AY46" s="113">
        <v>2200.511</v>
      </c>
      <c r="AZ46" s="77">
        <f>SUM(AN46:AY46)</f>
        <v>18481.177</v>
      </c>
      <c r="BA46" s="77">
        <v>29958.833000000002</v>
      </c>
      <c r="BB46" s="77">
        <v>27271.769</v>
      </c>
      <c r="BC46" s="77">
        <v>19030.365</v>
      </c>
      <c r="BD46" s="77">
        <v>11371.037</v>
      </c>
      <c r="BE46" s="77">
        <v>7999.175999999999</v>
      </c>
      <c r="BF46" s="77">
        <v>10140.430999999999</v>
      </c>
      <c r="BG46" s="107">
        <v>2737.26</v>
      </c>
      <c r="BH46" s="107">
        <v>1163.846</v>
      </c>
      <c r="BI46" s="113">
        <v>1263.799</v>
      </c>
      <c r="BJ46" s="107">
        <v>1803.553</v>
      </c>
      <c r="BK46" s="77">
        <v>2917.366</v>
      </c>
      <c r="BL46" s="77">
        <v>2333.02</v>
      </c>
      <c r="BM46" s="113">
        <v>1999.356</v>
      </c>
      <c r="BN46" s="77">
        <v>2740.2</v>
      </c>
      <c r="BO46" s="77">
        <v>2504.054</v>
      </c>
      <c r="BP46" s="77">
        <v>1850.873</v>
      </c>
      <c r="BQ46" s="77">
        <v>3023.221</v>
      </c>
      <c r="BR46" s="77">
        <v>3007.723</v>
      </c>
      <c r="BS46" s="77">
        <v>3201.144</v>
      </c>
      <c r="BT46" s="113">
        <v>3314.524</v>
      </c>
      <c r="BU46" s="107">
        <f>SUM(BI46:BT46)</f>
        <v>29958.833000000002</v>
      </c>
      <c r="BV46" s="105">
        <v>1973.4</v>
      </c>
      <c r="BW46" s="105">
        <v>1773.502</v>
      </c>
      <c r="BX46" s="106">
        <v>2034.76</v>
      </c>
      <c r="BY46" s="107">
        <v>1900.02</v>
      </c>
      <c r="BZ46" s="107">
        <v>388.625</v>
      </c>
      <c r="CA46" s="107">
        <v>991.22</v>
      </c>
      <c r="CB46" s="107">
        <v>1044.536</v>
      </c>
      <c r="CC46" s="107">
        <v>1064.378</v>
      </c>
      <c r="CD46" s="107">
        <v>3825.66</v>
      </c>
      <c r="CE46" s="107">
        <v>3192.202</v>
      </c>
      <c r="CF46" s="107">
        <v>4118.45</v>
      </c>
      <c r="CG46" s="107">
        <v>4965.016</v>
      </c>
      <c r="CH46" s="107">
        <f>SUM(BV46:CG46)</f>
        <v>27271.769</v>
      </c>
      <c r="CI46" s="107">
        <v>3556.511</v>
      </c>
      <c r="CJ46" s="107">
        <v>2752.002</v>
      </c>
      <c r="CK46" s="107">
        <v>2139.698</v>
      </c>
      <c r="CL46" s="107">
        <v>1582.721</v>
      </c>
      <c r="CM46" s="107">
        <v>1168.626</v>
      </c>
      <c r="CN46" s="107">
        <v>876.953</v>
      </c>
      <c r="CO46" s="107">
        <v>922.236</v>
      </c>
      <c r="CP46" s="107">
        <v>1258.473</v>
      </c>
      <c r="CQ46" s="107">
        <v>1324.215</v>
      </c>
      <c r="CR46" s="107">
        <v>1507.299</v>
      </c>
      <c r="CS46" s="107">
        <v>982.364</v>
      </c>
      <c r="CT46" s="107">
        <v>959.267</v>
      </c>
      <c r="CU46" s="107">
        <f>SUM(CI46:CT46)</f>
        <v>19030.365</v>
      </c>
      <c r="CV46" s="108">
        <v>1448.605</v>
      </c>
      <c r="CW46" s="117">
        <v>389.746</v>
      </c>
      <c r="CX46" s="117">
        <v>974.85</v>
      </c>
      <c r="CY46" s="117">
        <v>756.993</v>
      </c>
      <c r="CZ46" s="117">
        <v>935.45</v>
      </c>
      <c r="DA46" s="123">
        <v>1141.16</v>
      </c>
      <c r="DB46" s="123">
        <v>855.672</v>
      </c>
      <c r="DC46" s="123">
        <v>617.503</v>
      </c>
      <c r="DD46" s="123">
        <v>504.52</v>
      </c>
      <c r="DE46" s="123">
        <v>1947.95</v>
      </c>
      <c r="DF46" s="123">
        <v>1065.5</v>
      </c>
      <c r="DG46" s="123">
        <v>733.088</v>
      </c>
      <c r="DH46" s="108">
        <f>SUM(CV46:DG46)</f>
        <v>11371.037</v>
      </c>
      <c r="DI46" s="108">
        <v>1020.83</v>
      </c>
      <c r="DJ46" s="108">
        <v>936.438</v>
      </c>
      <c r="DK46" s="108">
        <v>297.682</v>
      </c>
      <c r="DL46" s="108">
        <v>976.917</v>
      </c>
      <c r="DM46" s="108">
        <v>72.4</v>
      </c>
      <c r="DN46" s="108">
        <v>459.73</v>
      </c>
      <c r="DO46" s="108">
        <v>453.688</v>
      </c>
      <c r="DP46" s="108">
        <v>843.852</v>
      </c>
      <c r="DQ46" s="108">
        <v>335.34</v>
      </c>
      <c r="DR46" s="108">
        <v>1138.351</v>
      </c>
      <c r="DS46" s="108">
        <f>19.45+978.58+0.37</f>
        <v>998.4000000000001</v>
      </c>
      <c r="DT46" s="108">
        <v>465.548</v>
      </c>
      <c r="DU46" s="108">
        <f>SUM(DI46:DT46)</f>
        <v>7999.175999999999</v>
      </c>
      <c r="DV46" s="108">
        <v>1782.867</v>
      </c>
      <c r="DW46" s="108">
        <v>747.162</v>
      </c>
      <c r="DX46" s="108">
        <v>1392.286</v>
      </c>
      <c r="DY46" s="108">
        <v>361.81</v>
      </c>
      <c r="DZ46" s="108">
        <v>786.454</v>
      </c>
      <c r="EA46" s="108">
        <v>514.244</v>
      </c>
      <c r="EB46" s="108">
        <v>1373.673</v>
      </c>
      <c r="EC46" s="108">
        <v>617.642</v>
      </c>
      <c r="ED46" s="108">
        <v>673.258</v>
      </c>
      <c r="EE46" s="108">
        <v>963.085</v>
      </c>
      <c r="EF46" s="108">
        <v>446.299</v>
      </c>
      <c r="EG46" s="108">
        <v>481.651</v>
      </c>
      <c r="EH46" s="108">
        <f>SUM(DV46:EG46)</f>
        <v>10140.430999999999</v>
      </c>
      <c r="EI46" s="108">
        <v>675.061</v>
      </c>
      <c r="EJ46" s="108">
        <v>584.514</v>
      </c>
      <c r="EK46" s="108">
        <v>190.865</v>
      </c>
      <c r="EL46" s="108">
        <v>74.125</v>
      </c>
      <c r="EM46" s="108">
        <v>144.31</v>
      </c>
      <c r="EN46" s="108">
        <v>228.54</v>
      </c>
      <c r="EO46" s="108">
        <v>251.418</v>
      </c>
      <c r="EP46" s="108">
        <v>162.065</v>
      </c>
      <c r="EQ46" s="108">
        <v>61.03</v>
      </c>
      <c r="ER46" s="108">
        <v>78.109</v>
      </c>
      <c r="ES46" s="108">
        <v>201.343</v>
      </c>
      <c r="ET46" s="108">
        <v>85.88</v>
      </c>
      <c r="EU46" s="108">
        <f>SUM(EI46:ET46)</f>
        <v>2737.26</v>
      </c>
      <c r="EV46" s="108">
        <v>117.775</v>
      </c>
      <c r="EW46" s="108">
        <v>106.641</v>
      </c>
      <c r="EX46" s="108">
        <v>51.282</v>
      </c>
      <c r="EY46" s="108">
        <v>26.55</v>
      </c>
      <c r="EZ46" s="108">
        <v>101.75</v>
      </c>
      <c r="FA46" s="108">
        <v>119.826</v>
      </c>
      <c r="FB46" s="108">
        <v>59.7</v>
      </c>
      <c r="FC46" s="108">
        <v>157.063</v>
      </c>
      <c r="FD46" s="108">
        <v>58.745</v>
      </c>
      <c r="FE46" s="108">
        <v>54.62</v>
      </c>
      <c r="FF46" s="108">
        <v>42.716</v>
      </c>
      <c r="FG46" s="108">
        <v>267.178</v>
      </c>
      <c r="FH46" s="108">
        <f>SUM(EV46:FB46)</f>
        <v>583.524</v>
      </c>
      <c r="FI46" s="108">
        <v>118.65</v>
      </c>
      <c r="FJ46" s="108">
        <v>131.054</v>
      </c>
      <c r="FK46" s="108">
        <v>353.8</v>
      </c>
      <c r="FL46" s="108">
        <v>1094.211</v>
      </c>
      <c r="FM46" s="108">
        <v>777.104</v>
      </c>
      <c r="FN46" s="108">
        <v>827.16</v>
      </c>
      <c r="FO46" s="108">
        <v>960.943</v>
      </c>
      <c r="FP46" s="108">
        <f>SUM(FI46:FO46)</f>
        <v>4262.9220000000005</v>
      </c>
      <c r="FQ46" s="13"/>
      <c r="FR46" s="13"/>
      <c r="FS46" s="13"/>
      <c r="FT46" s="13"/>
      <c r="FU46" s="13"/>
      <c r="FV46" s="13"/>
      <c r="FW46" s="14"/>
      <c r="FX46" s="14"/>
    </row>
    <row r="47" spans="1:180" ht="15.75">
      <c r="A47" s="63"/>
      <c r="B47" s="41"/>
      <c r="C47" s="41"/>
      <c r="D47" s="41"/>
      <c r="E47" s="90"/>
      <c r="F47" s="90"/>
      <c r="G47" s="90"/>
      <c r="H47" s="90"/>
      <c r="I47" s="90"/>
      <c r="J47" s="90"/>
      <c r="K47" s="90"/>
      <c r="L47" s="90"/>
      <c r="M47" s="125" t="s">
        <v>27</v>
      </c>
      <c r="N47" s="109" t="s">
        <v>27</v>
      </c>
      <c r="O47" s="110" t="s">
        <v>27</v>
      </c>
      <c r="P47" s="104"/>
      <c r="Q47" s="105"/>
      <c r="R47" s="105"/>
      <c r="S47" s="104"/>
      <c r="T47" s="104"/>
      <c r="U47" s="77"/>
      <c r="V47" s="77"/>
      <c r="W47" s="105"/>
      <c r="X47" s="105"/>
      <c r="Y47" s="106"/>
      <c r="Z47" s="105"/>
      <c r="AA47" s="105"/>
      <c r="AB47" s="105"/>
      <c r="AC47" s="106"/>
      <c r="AD47" s="105"/>
      <c r="AE47" s="106"/>
      <c r="AF47" s="105"/>
      <c r="AG47" s="105"/>
      <c r="AH47" s="106"/>
      <c r="AI47" s="106"/>
      <c r="AJ47" s="106"/>
      <c r="AK47" s="106"/>
      <c r="AL47" s="106"/>
      <c r="AM47" s="106"/>
      <c r="AN47" s="117"/>
      <c r="AO47" s="107"/>
      <c r="AP47" s="77"/>
      <c r="AQ47" s="107"/>
      <c r="AR47" s="113"/>
      <c r="AS47" s="77"/>
      <c r="AT47" s="77"/>
      <c r="AU47" s="77"/>
      <c r="AV47" s="77"/>
      <c r="AW47" s="77"/>
      <c r="AX47" s="107"/>
      <c r="AY47" s="105"/>
      <c r="AZ47" s="107"/>
      <c r="BA47" s="107"/>
      <c r="BB47" s="107"/>
      <c r="BC47" s="107"/>
      <c r="BD47" s="107"/>
      <c r="BE47" s="107"/>
      <c r="BF47" s="107"/>
      <c r="BG47" s="107"/>
      <c r="BH47" s="107"/>
      <c r="BI47" s="113"/>
      <c r="BJ47" s="107"/>
      <c r="BK47" s="77"/>
      <c r="BL47" s="77"/>
      <c r="BM47" s="113"/>
      <c r="BN47" s="77"/>
      <c r="BO47" s="77"/>
      <c r="BP47" s="77"/>
      <c r="BQ47" s="77"/>
      <c r="BR47" s="77"/>
      <c r="BS47" s="77"/>
      <c r="BT47" s="105"/>
      <c r="BU47" s="107"/>
      <c r="BV47" s="77"/>
      <c r="BW47" s="77"/>
      <c r="BX47" s="107"/>
      <c r="BY47" s="107"/>
      <c r="BZ47" s="56"/>
      <c r="CA47" s="49"/>
      <c r="CB47" s="49"/>
      <c r="CC47" s="49"/>
      <c r="CD47" s="49"/>
      <c r="CE47" s="49"/>
      <c r="CF47" s="49"/>
      <c r="CG47" s="49"/>
      <c r="CH47" s="107"/>
      <c r="CI47" s="49"/>
      <c r="CJ47" s="49"/>
      <c r="CK47" s="49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8"/>
      <c r="CW47" s="107"/>
      <c r="CX47" s="107"/>
      <c r="CY47" s="107"/>
      <c r="CZ47" s="107"/>
      <c r="DA47" s="112"/>
      <c r="DB47" s="112"/>
      <c r="DC47" s="112"/>
      <c r="DD47" s="112"/>
      <c r="DE47" s="112"/>
      <c r="DF47" s="112"/>
      <c r="DG47" s="112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3"/>
      <c r="FR47" s="13"/>
      <c r="FS47" s="13"/>
      <c r="FT47" s="13"/>
      <c r="FU47" s="13"/>
      <c r="FV47" s="13"/>
      <c r="FW47" s="14"/>
      <c r="FX47" s="14"/>
    </row>
    <row r="48" spans="1:180" ht="15.75">
      <c r="A48" s="319" t="s">
        <v>53</v>
      </c>
      <c r="B48" s="41"/>
      <c r="C48" s="41"/>
      <c r="D48" s="41"/>
      <c r="E48" s="90">
        <v>112</v>
      </c>
      <c r="F48" s="90">
        <v>224</v>
      </c>
      <c r="G48" s="90">
        <v>103</v>
      </c>
      <c r="H48" s="90">
        <v>52</v>
      </c>
      <c r="I48" s="90">
        <v>45</v>
      </c>
      <c r="J48" s="90">
        <v>64</v>
      </c>
      <c r="K48" s="90">
        <v>658</v>
      </c>
      <c r="L48" s="90">
        <v>405</v>
      </c>
      <c r="M48" s="90">
        <v>632</v>
      </c>
      <c r="N48" s="104">
        <v>381</v>
      </c>
      <c r="O48" s="105">
        <v>24</v>
      </c>
      <c r="P48" s="104">
        <v>188</v>
      </c>
      <c r="Q48" s="105">
        <v>551</v>
      </c>
      <c r="R48" s="105">
        <v>1589.515</v>
      </c>
      <c r="S48" s="104">
        <v>117</v>
      </c>
      <c r="T48" s="104">
        <v>113</v>
      </c>
      <c r="U48" s="77">
        <v>83</v>
      </c>
      <c r="V48" s="77">
        <v>142</v>
      </c>
      <c r="W48" s="105">
        <v>116</v>
      </c>
      <c r="X48" s="105">
        <v>85</v>
      </c>
      <c r="Y48" s="106">
        <f>7+77</f>
        <v>84</v>
      </c>
      <c r="Z48" s="105">
        <v>141</v>
      </c>
      <c r="AA48" s="105">
        <v>165</v>
      </c>
      <c r="AB48" s="105">
        <v>154</v>
      </c>
      <c r="AC48" s="106">
        <v>232</v>
      </c>
      <c r="AD48" s="105">
        <f>1.5+156.015</f>
        <v>157.515</v>
      </c>
      <c r="AE48" s="106">
        <f>SUM(S48:AD48)</f>
        <v>1589.5149999999999</v>
      </c>
      <c r="AF48" s="105">
        <v>2157.977</v>
      </c>
      <c r="AG48" s="105">
        <v>2577</v>
      </c>
      <c r="AH48" s="106">
        <v>3407</v>
      </c>
      <c r="AI48" s="106">
        <v>4816</v>
      </c>
      <c r="AJ48" s="106">
        <v>4874</v>
      </c>
      <c r="AK48" s="106">
        <v>6785</v>
      </c>
      <c r="AL48" s="106">
        <v>5575.857000000001</v>
      </c>
      <c r="AM48" s="106">
        <v>6405.6449999999995</v>
      </c>
      <c r="AN48" s="113">
        <v>569.35</v>
      </c>
      <c r="AO48" s="105">
        <v>459.8</v>
      </c>
      <c r="AP48" s="105">
        <v>564.43</v>
      </c>
      <c r="AQ48" s="105">
        <v>621.3</v>
      </c>
      <c r="AR48" s="113">
        <v>469</v>
      </c>
      <c r="AS48" s="105">
        <v>511</v>
      </c>
      <c r="AT48" s="105">
        <v>480.99</v>
      </c>
      <c r="AU48" s="105">
        <v>362.21</v>
      </c>
      <c r="AV48" s="105">
        <v>497.54</v>
      </c>
      <c r="AW48" s="105">
        <v>487.5</v>
      </c>
      <c r="AX48" s="105">
        <v>611.325</v>
      </c>
      <c r="AY48" s="105">
        <v>771.2</v>
      </c>
      <c r="AZ48" s="77">
        <f>SUM(AN48:AY48)</f>
        <v>6405.6449999999995</v>
      </c>
      <c r="BA48" s="77">
        <v>9096.716999999999</v>
      </c>
      <c r="BB48" s="77">
        <v>8959.12</v>
      </c>
      <c r="BC48" s="77">
        <v>10036.546</v>
      </c>
      <c r="BD48" s="77">
        <v>6651.634999999999</v>
      </c>
      <c r="BE48" s="77">
        <v>5667.285</v>
      </c>
      <c r="BF48" s="77">
        <v>7515.354000000001</v>
      </c>
      <c r="BG48" s="107">
        <v>5855.475000000001</v>
      </c>
      <c r="BH48" s="107">
        <v>5624.827</v>
      </c>
      <c r="BI48" s="113">
        <v>740.28</v>
      </c>
      <c r="BJ48" s="106">
        <v>535.7</v>
      </c>
      <c r="BK48" s="105">
        <v>734.525</v>
      </c>
      <c r="BL48" s="105">
        <v>1033.7</v>
      </c>
      <c r="BM48" s="113">
        <v>827</v>
      </c>
      <c r="BN48" s="105">
        <v>876.25</v>
      </c>
      <c r="BO48" s="105">
        <v>913</v>
      </c>
      <c r="BP48" s="105">
        <v>708.562</v>
      </c>
      <c r="BQ48" s="105">
        <v>758.7</v>
      </c>
      <c r="BR48" s="105">
        <v>560.95</v>
      </c>
      <c r="BS48" s="105">
        <v>656.25</v>
      </c>
      <c r="BT48" s="105">
        <v>751.8</v>
      </c>
      <c r="BU48" s="107">
        <f>SUM(BI48:BT48)</f>
        <v>9096.716999999999</v>
      </c>
      <c r="BV48" s="105">
        <v>842.5</v>
      </c>
      <c r="BW48" s="105">
        <v>495.3</v>
      </c>
      <c r="BX48" s="106">
        <v>808.55</v>
      </c>
      <c r="BY48" s="105">
        <v>564.5</v>
      </c>
      <c r="BZ48" s="113">
        <v>524.5</v>
      </c>
      <c r="CA48" s="117">
        <v>542.5</v>
      </c>
      <c r="CB48" s="117">
        <v>681.3</v>
      </c>
      <c r="CC48" s="117">
        <v>901.8</v>
      </c>
      <c r="CD48" s="117">
        <v>777</v>
      </c>
      <c r="CE48" s="117">
        <v>673.1</v>
      </c>
      <c r="CF48" s="117">
        <v>1115.37</v>
      </c>
      <c r="CG48" s="117">
        <v>1032.7</v>
      </c>
      <c r="CH48" s="107">
        <f>SUM(BV48:CG48)</f>
        <v>8959.12</v>
      </c>
      <c r="CI48" s="117">
        <v>750.45</v>
      </c>
      <c r="CJ48" s="117">
        <v>1119.93</v>
      </c>
      <c r="CK48" s="117">
        <v>1025.81</v>
      </c>
      <c r="CL48" s="107">
        <v>1165.089</v>
      </c>
      <c r="CM48" s="107">
        <v>1040.25</v>
      </c>
      <c r="CN48" s="107">
        <v>897.38</v>
      </c>
      <c r="CO48" s="107">
        <v>729.26</v>
      </c>
      <c r="CP48" s="107">
        <v>858.73</v>
      </c>
      <c r="CQ48" s="107">
        <v>593.91</v>
      </c>
      <c r="CR48" s="107">
        <v>473.697</v>
      </c>
      <c r="CS48" s="107">
        <v>600.71</v>
      </c>
      <c r="CT48" s="107">
        <v>781.33</v>
      </c>
      <c r="CU48" s="107">
        <f>SUM(CI48:CT48)</f>
        <v>10036.546</v>
      </c>
      <c r="CV48" s="108">
        <v>569.216</v>
      </c>
      <c r="CW48" s="117">
        <v>528.35</v>
      </c>
      <c r="CX48" s="117">
        <v>716.97</v>
      </c>
      <c r="CY48" s="117">
        <v>1414.65</v>
      </c>
      <c r="CZ48" s="117">
        <v>508.4</v>
      </c>
      <c r="DA48" s="123">
        <v>593.96</v>
      </c>
      <c r="DB48" s="123">
        <v>485.15</v>
      </c>
      <c r="DC48" s="123">
        <v>517.32</v>
      </c>
      <c r="DD48" s="123">
        <v>507.74</v>
      </c>
      <c r="DE48" s="123">
        <v>383.99</v>
      </c>
      <c r="DF48" s="123">
        <v>2</v>
      </c>
      <c r="DG48" s="123">
        <v>423.889</v>
      </c>
      <c r="DH48" s="108">
        <f>SUM(CV48:DG48)</f>
        <v>6651.634999999999</v>
      </c>
      <c r="DI48" s="108">
        <v>601.665</v>
      </c>
      <c r="DJ48" s="108">
        <v>372.455</v>
      </c>
      <c r="DK48" s="108">
        <v>351.35</v>
      </c>
      <c r="DL48" s="108">
        <v>418.395</v>
      </c>
      <c r="DM48" s="108">
        <v>696.63</v>
      </c>
      <c r="DN48" s="108">
        <v>455.7</v>
      </c>
      <c r="DO48" s="108">
        <v>2.2</v>
      </c>
      <c r="DP48" s="108">
        <v>448.96</v>
      </c>
      <c r="DQ48" s="108">
        <v>648.75</v>
      </c>
      <c r="DR48" s="108">
        <v>555.55</v>
      </c>
      <c r="DS48" s="108">
        <v>548.63</v>
      </c>
      <c r="DT48" s="108">
        <v>567</v>
      </c>
      <c r="DU48" s="108">
        <f>SUM(DI48:DT48)</f>
        <v>5667.285</v>
      </c>
      <c r="DV48" s="108">
        <v>473.427</v>
      </c>
      <c r="DW48" s="108">
        <v>367.05</v>
      </c>
      <c r="DX48" s="108">
        <v>684.373</v>
      </c>
      <c r="DY48" s="108">
        <v>571.35</v>
      </c>
      <c r="DZ48" s="108">
        <v>632.55</v>
      </c>
      <c r="EA48" s="108">
        <v>680.61</v>
      </c>
      <c r="EB48" s="108">
        <v>645.11</v>
      </c>
      <c r="EC48" s="108">
        <v>496.428</v>
      </c>
      <c r="ED48" s="108">
        <v>729.049</v>
      </c>
      <c r="EE48" s="108">
        <v>798.975</v>
      </c>
      <c r="EF48" s="108">
        <v>840.952</v>
      </c>
      <c r="EG48" s="108">
        <v>595.48</v>
      </c>
      <c r="EH48" s="108">
        <f>SUM(DV48:EG48)</f>
        <v>7515.354000000001</v>
      </c>
      <c r="EI48" s="108">
        <v>466.05</v>
      </c>
      <c r="EJ48" s="108">
        <v>533.1</v>
      </c>
      <c r="EK48" s="108">
        <v>793.021</v>
      </c>
      <c r="EL48" s="108">
        <v>549.884</v>
      </c>
      <c r="EM48" s="108">
        <v>355.77</v>
      </c>
      <c r="EN48" s="108">
        <v>504.4</v>
      </c>
      <c r="EO48" s="108">
        <v>261.26</v>
      </c>
      <c r="EP48" s="108">
        <v>285.2</v>
      </c>
      <c r="EQ48" s="108">
        <v>402.39</v>
      </c>
      <c r="ER48" s="108">
        <v>601.25</v>
      </c>
      <c r="ES48" s="108">
        <v>466.1</v>
      </c>
      <c r="ET48" s="108">
        <v>637.05</v>
      </c>
      <c r="EU48" s="108">
        <f>SUM(EI48:ET48)</f>
        <v>5855.475000000001</v>
      </c>
      <c r="EV48" s="108">
        <v>690.096</v>
      </c>
      <c r="EW48" s="108">
        <v>519.9</v>
      </c>
      <c r="EX48" s="108">
        <v>685.47</v>
      </c>
      <c r="EY48" s="108">
        <v>588.304</v>
      </c>
      <c r="EZ48" s="108">
        <v>545.236</v>
      </c>
      <c r="FA48" s="108">
        <v>443.3</v>
      </c>
      <c r="FB48" s="108">
        <v>373.95</v>
      </c>
      <c r="FC48" s="108">
        <v>575.901</v>
      </c>
      <c r="FD48" s="108">
        <v>532.85</v>
      </c>
      <c r="FE48" s="108">
        <v>336.77</v>
      </c>
      <c r="FF48" s="108">
        <v>259.25</v>
      </c>
      <c r="FG48" s="108">
        <v>73.8</v>
      </c>
      <c r="FH48" s="108">
        <f>SUM(EV48:FB48)</f>
        <v>3846.256</v>
      </c>
      <c r="FI48" s="108">
        <v>103.95</v>
      </c>
      <c r="FJ48" s="108">
        <v>235.3</v>
      </c>
      <c r="FK48" s="108">
        <v>164.88</v>
      </c>
      <c r="FL48" s="108">
        <v>135.49</v>
      </c>
      <c r="FM48" s="108">
        <v>78.82</v>
      </c>
      <c r="FN48" s="108">
        <v>72.404</v>
      </c>
      <c r="FO48" s="108">
        <v>50.05</v>
      </c>
      <c r="FP48" s="108">
        <f>SUM(FI48:FO48)</f>
        <v>840.894</v>
      </c>
      <c r="FQ48" s="13"/>
      <c r="FR48" s="13"/>
      <c r="FS48" s="13"/>
      <c r="FT48" s="13"/>
      <c r="FU48" s="13"/>
      <c r="FV48" s="13"/>
      <c r="FW48" s="12"/>
      <c r="FX48" s="14"/>
    </row>
    <row r="49" spans="1:180" ht="15.75">
      <c r="A49" s="103" t="s">
        <v>25</v>
      </c>
      <c r="B49" s="41"/>
      <c r="C49" s="41"/>
      <c r="D49" s="41"/>
      <c r="E49" s="90"/>
      <c r="F49" s="90"/>
      <c r="G49" s="90"/>
      <c r="H49" s="90"/>
      <c r="I49" s="90"/>
      <c r="J49" s="90"/>
      <c r="K49" s="90"/>
      <c r="L49" s="90"/>
      <c r="M49" s="90"/>
      <c r="N49" s="104"/>
      <c r="O49" s="105"/>
      <c r="P49" s="104"/>
      <c r="Q49" s="105"/>
      <c r="R49" s="105"/>
      <c r="S49" s="104"/>
      <c r="T49" s="104"/>
      <c r="U49" s="77"/>
      <c r="V49" s="77"/>
      <c r="W49" s="105"/>
      <c r="X49" s="105"/>
      <c r="Y49" s="106"/>
      <c r="Z49" s="105"/>
      <c r="AA49" s="105"/>
      <c r="AB49" s="105"/>
      <c r="AC49" s="106"/>
      <c r="AD49" s="105"/>
      <c r="AE49" s="106"/>
      <c r="AF49" s="105"/>
      <c r="AG49" s="105"/>
      <c r="AH49" s="106"/>
      <c r="AI49" s="106"/>
      <c r="AJ49" s="106"/>
      <c r="AK49" s="106"/>
      <c r="AL49" s="106"/>
      <c r="AM49" s="106"/>
      <c r="AN49" s="107"/>
      <c r="AO49" s="107"/>
      <c r="AP49" s="77"/>
      <c r="AQ49" s="107"/>
      <c r="AR49" s="113"/>
      <c r="AS49" s="77"/>
      <c r="AT49" s="77"/>
      <c r="AU49" s="107"/>
      <c r="AV49" s="77"/>
      <c r="AW49" s="77"/>
      <c r="AX49" s="107"/>
      <c r="AY49" s="105"/>
      <c r="AZ49" s="107"/>
      <c r="BA49" s="107"/>
      <c r="BB49" s="107"/>
      <c r="BC49" s="107"/>
      <c r="BD49" s="107"/>
      <c r="BE49" s="107"/>
      <c r="BF49" s="107"/>
      <c r="BG49" s="107"/>
      <c r="BH49" s="107"/>
      <c r="BI49" s="77"/>
      <c r="BJ49" s="107"/>
      <c r="BK49" s="77"/>
      <c r="BL49" s="77"/>
      <c r="BM49" s="113"/>
      <c r="BN49" s="77"/>
      <c r="BO49" s="77"/>
      <c r="BP49" s="77"/>
      <c r="BQ49" s="77"/>
      <c r="BR49" s="77"/>
      <c r="BS49" s="77"/>
      <c r="BT49" s="105"/>
      <c r="BU49" s="107"/>
      <c r="BV49" s="77"/>
      <c r="BW49" s="7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8"/>
      <c r="CW49" s="107"/>
      <c r="CX49" s="107"/>
      <c r="CY49" s="107"/>
      <c r="CZ49" s="107"/>
      <c r="DA49" s="112"/>
      <c r="DB49" s="112"/>
      <c r="DC49" s="112"/>
      <c r="DD49" s="112"/>
      <c r="DE49" s="112"/>
      <c r="DF49" s="112"/>
      <c r="DG49" s="112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3"/>
      <c r="FR49" s="13"/>
      <c r="FS49" s="12"/>
      <c r="FT49" s="12"/>
      <c r="FU49" s="12"/>
      <c r="FV49" s="12"/>
      <c r="FW49" s="12"/>
      <c r="FX49" s="14"/>
    </row>
    <row r="50" spans="1:180" ht="15.75">
      <c r="A50" s="319" t="s">
        <v>54</v>
      </c>
      <c r="B50" s="41"/>
      <c r="C50" s="41"/>
      <c r="D50" s="41"/>
      <c r="E50" s="90">
        <f aca="true" t="shared" si="50" ref="E50:P50">SUM(E52:E60)</f>
        <v>71801</v>
      </c>
      <c r="F50" s="90">
        <f t="shared" si="50"/>
        <v>64817</v>
      </c>
      <c r="G50" s="90">
        <f t="shared" si="50"/>
        <v>76477</v>
      </c>
      <c r="H50" s="90">
        <f t="shared" si="50"/>
        <v>78906</v>
      </c>
      <c r="I50" s="90">
        <f t="shared" si="50"/>
        <v>94065</v>
      </c>
      <c r="J50" s="90">
        <f t="shared" si="50"/>
        <v>86666</v>
      </c>
      <c r="K50" s="90">
        <f t="shared" si="50"/>
        <v>71956</v>
      </c>
      <c r="L50" s="90">
        <f t="shared" si="50"/>
        <v>50132</v>
      </c>
      <c r="M50" s="90">
        <f t="shared" si="50"/>
        <v>55116</v>
      </c>
      <c r="N50" s="104">
        <f t="shared" si="50"/>
        <v>34166</v>
      </c>
      <c r="O50" s="105">
        <f t="shared" si="50"/>
        <v>31851</v>
      </c>
      <c r="P50" s="104">
        <f t="shared" si="50"/>
        <v>53729</v>
      </c>
      <c r="Q50" s="105">
        <f>SUM(Q52:Q60)</f>
        <v>51911</v>
      </c>
      <c r="R50" s="105">
        <v>65159.518</v>
      </c>
      <c r="S50" s="104">
        <f aca="true" t="shared" si="51" ref="S50:AE50">SUM(S52:S60)</f>
        <v>5149</v>
      </c>
      <c r="T50" s="104">
        <f t="shared" si="51"/>
        <v>4609</v>
      </c>
      <c r="U50" s="105">
        <f t="shared" si="51"/>
        <v>5425</v>
      </c>
      <c r="V50" s="105">
        <f t="shared" si="51"/>
        <v>4311</v>
      </c>
      <c r="W50" s="105">
        <f t="shared" si="51"/>
        <v>6112</v>
      </c>
      <c r="X50" s="105">
        <f t="shared" si="51"/>
        <v>5650</v>
      </c>
      <c r="Y50" s="106">
        <f t="shared" si="51"/>
        <v>4062</v>
      </c>
      <c r="Z50" s="105">
        <f t="shared" si="51"/>
        <v>5639</v>
      </c>
      <c r="AA50" s="105">
        <f t="shared" si="51"/>
        <v>7796</v>
      </c>
      <c r="AB50" s="105">
        <f t="shared" si="51"/>
        <v>4540</v>
      </c>
      <c r="AC50" s="105">
        <f t="shared" si="51"/>
        <v>7229</v>
      </c>
      <c r="AD50" s="105">
        <f t="shared" si="51"/>
        <v>4637.518</v>
      </c>
      <c r="AE50" s="106">
        <f t="shared" si="51"/>
        <v>65159.518</v>
      </c>
      <c r="AF50" s="105">
        <v>69711.894</v>
      </c>
      <c r="AG50" s="105">
        <v>72109</v>
      </c>
      <c r="AH50" s="106">
        <v>77188</v>
      </c>
      <c r="AI50" s="106">
        <v>86057</v>
      </c>
      <c r="AJ50" s="106">
        <v>97216</v>
      </c>
      <c r="AK50" s="106">
        <v>86997</v>
      </c>
      <c r="AL50" s="107">
        <v>59277.58500000001</v>
      </c>
      <c r="AM50" s="107">
        <v>53530.692</v>
      </c>
      <c r="AN50" s="105">
        <f aca="true" t="shared" si="52" ref="AN50:BU50">SUM(AN52:AN60)</f>
        <v>2319.566</v>
      </c>
      <c r="AO50" s="105">
        <f t="shared" si="52"/>
        <v>4373.717000000001</v>
      </c>
      <c r="AP50" s="105">
        <f t="shared" si="52"/>
        <v>5964.3189999999995</v>
      </c>
      <c r="AQ50" s="106">
        <f t="shared" si="52"/>
        <v>6106.567</v>
      </c>
      <c r="AR50" s="106">
        <f t="shared" si="52"/>
        <v>5749.4529999999995</v>
      </c>
      <c r="AS50" s="106">
        <f t="shared" si="52"/>
        <v>4871.57</v>
      </c>
      <c r="AT50" s="106">
        <f t="shared" si="52"/>
        <v>4634.93</v>
      </c>
      <c r="AU50" s="106">
        <f t="shared" si="52"/>
        <v>3852.2479999999996</v>
      </c>
      <c r="AV50" s="106">
        <f t="shared" si="52"/>
        <v>4332.364</v>
      </c>
      <c r="AW50" s="106">
        <f t="shared" si="52"/>
        <v>4636.625</v>
      </c>
      <c r="AX50" s="106">
        <f t="shared" si="52"/>
        <v>2979.9700000000003</v>
      </c>
      <c r="AY50" s="105">
        <f t="shared" si="52"/>
        <v>3259.4629999999997</v>
      </c>
      <c r="AZ50" s="107">
        <f>SUM(AZ52:AZ60)</f>
        <v>53080.792</v>
      </c>
      <c r="BA50" s="105">
        <f t="shared" si="52"/>
        <v>87807.84599999999</v>
      </c>
      <c r="BB50" s="105">
        <v>144539.031</v>
      </c>
      <c r="BC50" s="105">
        <v>134379.65300000002</v>
      </c>
      <c r="BD50" s="105">
        <v>88401.055</v>
      </c>
      <c r="BE50" s="105">
        <v>62381.33</v>
      </c>
      <c r="BF50" s="105">
        <v>82604.639</v>
      </c>
      <c r="BG50" s="107">
        <v>40109.925</v>
      </c>
      <c r="BH50" s="107">
        <v>72106.19999999998</v>
      </c>
      <c r="BI50" s="105">
        <f t="shared" si="52"/>
        <v>5493.0740000000005</v>
      </c>
      <c r="BJ50" s="105">
        <f t="shared" si="52"/>
        <v>4199.532999999999</v>
      </c>
      <c r="BK50" s="105">
        <f t="shared" si="52"/>
        <v>7466.825000000001</v>
      </c>
      <c r="BL50" s="105">
        <f t="shared" si="52"/>
        <v>5125.139</v>
      </c>
      <c r="BM50" s="105">
        <f t="shared" si="52"/>
        <v>5225.093000000001</v>
      </c>
      <c r="BN50" s="105">
        <f t="shared" si="52"/>
        <v>9291.938</v>
      </c>
      <c r="BO50" s="105">
        <f t="shared" si="52"/>
        <v>8243.659</v>
      </c>
      <c r="BP50" s="105">
        <f t="shared" si="52"/>
        <v>10498.192</v>
      </c>
      <c r="BQ50" s="105">
        <f t="shared" si="52"/>
        <v>8370.226</v>
      </c>
      <c r="BR50" s="105">
        <f t="shared" si="52"/>
        <v>6591.057000000001</v>
      </c>
      <c r="BS50" s="105">
        <f t="shared" si="52"/>
        <v>7326.339</v>
      </c>
      <c r="BT50" s="105">
        <f t="shared" si="52"/>
        <v>9954.771</v>
      </c>
      <c r="BU50" s="105">
        <f t="shared" si="52"/>
        <v>87785.84599999999</v>
      </c>
      <c r="BV50" s="105">
        <f aca="true" t="shared" si="53" ref="BV50:CG50">SUM(BV52:BV60)</f>
        <v>11778.706</v>
      </c>
      <c r="BW50" s="105">
        <f t="shared" si="53"/>
        <v>9862.74</v>
      </c>
      <c r="BX50" s="105">
        <f t="shared" si="53"/>
        <v>8532.4</v>
      </c>
      <c r="BY50" s="105">
        <f t="shared" si="53"/>
        <v>9236.475</v>
      </c>
      <c r="BZ50" s="105">
        <f t="shared" si="53"/>
        <v>9401.02</v>
      </c>
      <c r="CA50" s="105">
        <f t="shared" si="53"/>
        <v>7957.504</v>
      </c>
      <c r="CB50" s="105">
        <f t="shared" si="53"/>
        <v>8461.145</v>
      </c>
      <c r="CC50" s="105">
        <f t="shared" si="53"/>
        <v>17269.461</v>
      </c>
      <c r="CD50" s="105">
        <f t="shared" si="53"/>
        <v>11571.039</v>
      </c>
      <c r="CE50" s="105">
        <f t="shared" si="53"/>
        <v>18315.525</v>
      </c>
      <c r="CF50" s="105">
        <f t="shared" si="53"/>
        <v>15666.991999999998</v>
      </c>
      <c r="CG50" s="105">
        <f t="shared" si="53"/>
        <v>16486.023999999998</v>
      </c>
      <c r="CH50" s="107">
        <f>SUM(CH57:CH60)</f>
        <v>144539.031</v>
      </c>
      <c r="CI50" s="107">
        <f>SUM(CI57:CI60)</f>
        <v>16725.903</v>
      </c>
      <c r="CJ50" s="107">
        <f aca="true" t="shared" si="54" ref="CJ50:CU50">SUM(CJ57:CJ60)</f>
        <v>12632.644999999999</v>
      </c>
      <c r="CK50" s="107">
        <f t="shared" si="54"/>
        <v>14821.028</v>
      </c>
      <c r="CL50" s="107">
        <f t="shared" si="54"/>
        <v>11907.169</v>
      </c>
      <c r="CM50" s="107">
        <f t="shared" si="54"/>
        <v>7984.49</v>
      </c>
      <c r="CN50" s="107">
        <f t="shared" si="54"/>
        <v>10807.916000000001</v>
      </c>
      <c r="CO50" s="107">
        <f t="shared" si="54"/>
        <v>15713.560000000001</v>
      </c>
      <c r="CP50" s="107">
        <f t="shared" si="54"/>
        <v>8290.265</v>
      </c>
      <c r="CQ50" s="107">
        <f t="shared" si="54"/>
        <v>10300.486</v>
      </c>
      <c r="CR50" s="107">
        <f t="shared" si="54"/>
        <v>8082.563</v>
      </c>
      <c r="CS50" s="107">
        <f t="shared" si="54"/>
        <v>7627.598000000001</v>
      </c>
      <c r="CT50" s="107">
        <f t="shared" si="54"/>
        <v>9486.029999999999</v>
      </c>
      <c r="CU50" s="107">
        <f t="shared" si="54"/>
        <v>134379.65300000002</v>
      </c>
      <c r="CV50" s="107">
        <f aca="true" t="shared" si="55" ref="CV50:DT50">SUM(CV57:CV60)</f>
        <v>7892.167</v>
      </c>
      <c r="CW50" s="107">
        <f t="shared" si="55"/>
        <v>6923.402</v>
      </c>
      <c r="CX50" s="107">
        <f t="shared" si="55"/>
        <v>7656.933000000001</v>
      </c>
      <c r="CY50" s="107">
        <f t="shared" si="55"/>
        <v>12821.104</v>
      </c>
      <c r="CZ50" s="107">
        <f t="shared" si="55"/>
        <v>8156.969000000001</v>
      </c>
      <c r="DA50" s="107">
        <f t="shared" si="55"/>
        <v>8688.937</v>
      </c>
      <c r="DB50" s="107">
        <f t="shared" si="55"/>
        <v>7522.742</v>
      </c>
      <c r="DC50" s="107">
        <f t="shared" si="55"/>
        <v>8296.033</v>
      </c>
      <c r="DD50" s="107">
        <f t="shared" si="55"/>
        <v>4090.8600000000006</v>
      </c>
      <c r="DE50" s="107">
        <f t="shared" si="55"/>
        <v>6790.866</v>
      </c>
      <c r="DF50" s="107">
        <f t="shared" si="55"/>
        <v>3966.155</v>
      </c>
      <c r="DG50" s="107">
        <f t="shared" si="55"/>
        <v>5594.886999999999</v>
      </c>
      <c r="DH50" s="108">
        <f>SUM(DH57:DH60)</f>
        <v>88401.055</v>
      </c>
      <c r="DI50" s="108">
        <f t="shared" si="55"/>
        <v>3083.626</v>
      </c>
      <c r="DJ50" s="108">
        <f t="shared" si="55"/>
        <v>6007.494999999999</v>
      </c>
      <c r="DK50" s="108">
        <f t="shared" si="55"/>
        <v>4559.762</v>
      </c>
      <c r="DL50" s="108">
        <f t="shared" si="55"/>
        <v>3616.0120000000006</v>
      </c>
      <c r="DM50" s="108">
        <f t="shared" si="55"/>
        <v>6212.4839999999995</v>
      </c>
      <c r="DN50" s="108">
        <f t="shared" si="55"/>
        <v>5711.031000000001</v>
      </c>
      <c r="DO50" s="108">
        <f t="shared" si="55"/>
        <v>4516.534</v>
      </c>
      <c r="DP50" s="108">
        <f t="shared" si="55"/>
        <v>9217.841</v>
      </c>
      <c r="DQ50" s="108">
        <f t="shared" si="55"/>
        <v>5292.338000000001</v>
      </c>
      <c r="DR50" s="108">
        <f t="shared" si="55"/>
        <v>3505.9790000000007</v>
      </c>
      <c r="DS50" s="108">
        <f t="shared" si="55"/>
        <v>4010.451</v>
      </c>
      <c r="DT50" s="107">
        <f t="shared" si="55"/>
        <v>6647.777</v>
      </c>
      <c r="DU50" s="108">
        <f aca="true" t="shared" si="56" ref="DU50:ED50">SUM(DU57:DU60)</f>
        <v>62381.33</v>
      </c>
      <c r="DV50" s="108">
        <f t="shared" si="56"/>
        <v>4537.191</v>
      </c>
      <c r="DW50" s="108">
        <f t="shared" si="56"/>
        <v>5561.142</v>
      </c>
      <c r="DX50" s="108">
        <f t="shared" si="56"/>
        <v>6146.509</v>
      </c>
      <c r="DY50" s="108">
        <f t="shared" si="56"/>
        <v>4100.954999999999</v>
      </c>
      <c r="DZ50" s="108">
        <f t="shared" si="56"/>
        <v>5757.199</v>
      </c>
      <c r="EA50" s="108">
        <f t="shared" si="56"/>
        <v>7040.088000000001</v>
      </c>
      <c r="EB50" s="108">
        <f t="shared" si="56"/>
        <v>7358.26</v>
      </c>
      <c r="EC50" s="108">
        <f t="shared" si="56"/>
        <v>9566.740000000002</v>
      </c>
      <c r="ED50" s="108">
        <f t="shared" si="56"/>
        <v>7579.213</v>
      </c>
      <c r="EE50" s="108">
        <f aca="true" t="shared" si="57" ref="EE50:FG50">SUM(EE57:EE60)</f>
        <v>9525.412</v>
      </c>
      <c r="EF50" s="108">
        <f t="shared" si="57"/>
        <v>8348.426</v>
      </c>
      <c r="EG50" s="108">
        <f t="shared" si="57"/>
        <v>7083.504000000001</v>
      </c>
      <c r="EH50" s="108">
        <f t="shared" si="57"/>
        <v>82604.639</v>
      </c>
      <c r="EI50" s="108">
        <f t="shared" si="57"/>
        <v>4329.047999999999</v>
      </c>
      <c r="EJ50" s="108">
        <f t="shared" si="57"/>
        <v>3899.555</v>
      </c>
      <c r="EK50" s="108">
        <f t="shared" si="57"/>
        <v>4451.438</v>
      </c>
      <c r="EL50" s="108">
        <f t="shared" si="57"/>
        <v>2362.658</v>
      </c>
      <c r="EM50" s="108">
        <f t="shared" si="57"/>
        <v>2520.635</v>
      </c>
      <c r="EN50" s="108">
        <f t="shared" si="57"/>
        <v>2306.501</v>
      </c>
      <c r="EO50" s="108">
        <f t="shared" si="57"/>
        <v>2593.9359999999997</v>
      </c>
      <c r="EP50" s="108">
        <f t="shared" si="57"/>
        <v>2343.9709999999995</v>
      </c>
      <c r="EQ50" s="108">
        <f t="shared" si="57"/>
        <v>5050.868</v>
      </c>
      <c r="ER50" s="108">
        <f t="shared" si="57"/>
        <v>2518.46</v>
      </c>
      <c r="ES50" s="108">
        <f t="shared" si="57"/>
        <v>4633.389999999999</v>
      </c>
      <c r="ET50" s="108">
        <f t="shared" si="57"/>
        <v>3099.4649999999997</v>
      </c>
      <c r="EU50" s="108">
        <f t="shared" si="57"/>
        <v>40109.925</v>
      </c>
      <c r="EV50" s="108">
        <f t="shared" si="57"/>
        <v>3237.205</v>
      </c>
      <c r="EW50" s="108">
        <f t="shared" si="57"/>
        <v>2665.7329999999997</v>
      </c>
      <c r="EX50" s="108">
        <f t="shared" si="57"/>
        <v>3420.0110000000004</v>
      </c>
      <c r="EY50" s="108">
        <f t="shared" si="57"/>
        <v>3122.343</v>
      </c>
      <c r="EZ50" s="108">
        <f t="shared" si="57"/>
        <v>2424.6299999999997</v>
      </c>
      <c r="FA50" s="108">
        <f t="shared" si="57"/>
        <v>5425.446</v>
      </c>
      <c r="FB50" s="108">
        <f t="shared" si="57"/>
        <v>8022.889999999999</v>
      </c>
      <c r="FC50" s="108">
        <f t="shared" si="57"/>
        <v>5177.988</v>
      </c>
      <c r="FD50" s="108">
        <f t="shared" si="57"/>
        <v>9034.081999999999</v>
      </c>
      <c r="FE50" s="108">
        <f t="shared" si="57"/>
        <v>10539.957999999999</v>
      </c>
      <c r="FF50" s="108">
        <f t="shared" si="57"/>
        <v>9429.711</v>
      </c>
      <c r="FG50" s="108">
        <f t="shared" si="57"/>
        <v>9606.203</v>
      </c>
      <c r="FH50" s="108">
        <f aca="true" t="shared" si="58" ref="FH50:FP50">SUM(FH57:FH60)</f>
        <v>28318.257999999998</v>
      </c>
      <c r="FI50" s="108">
        <f t="shared" si="58"/>
        <v>7042.309</v>
      </c>
      <c r="FJ50" s="108">
        <f t="shared" si="58"/>
        <v>9899.248</v>
      </c>
      <c r="FK50" s="108">
        <f t="shared" si="58"/>
        <v>11208.875</v>
      </c>
      <c r="FL50" s="108">
        <f t="shared" si="58"/>
        <v>9150.057999999999</v>
      </c>
      <c r="FM50" s="108">
        <f t="shared" si="58"/>
        <v>6933.876</v>
      </c>
      <c r="FN50" s="108">
        <f t="shared" si="58"/>
        <v>9777.846</v>
      </c>
      <c r="FO50" s="108">
        <f t="shared" si="58"/>
        <v>13040.393999999998</v>
      </c>
      <c r="FP50" s="108">
        <f t="shared" si="58"/>
        <v>67052.606</v>
      </c>
      <c r="FQ50" s="12"/>
      <c r="FR50" s="12"/>
      <c r="FS50" s="13"/>
      <c r="FT50" s="13"/>
      <c r="FU50" s="13"/>
      <c r="FV50" s="13"/>
      <c r="FW50" s="12"/>
      <c r="FX50" s="14"/>
    </row>
    <row r="51" spans="1:180" ht="15.75">
      <c r="A51" s="63"/>
      <c r="B51" s="41"/>
      <c r="C51" s="41"/>
      <c r="D51" s="41"/>
      <c r="E51" s="90"/>
      <c r="F51" s="90"/>
      <c r="G51" s="90"/>
      <c r="H51" s="90"/>
      <c r="I51" s="90"/>
      <c r="J51" s="90"/>
      <c r="K51" s="90"/>
      <c r="L51" s="90"/>
      <c r="M51" s="125" t="s">
        <v>27</v>
      </c>
      <c r="N51" s="109" t="s">
        <v>27</v>
      </c>
      <c r="O51" s="110" t="s">
        <v>27</v>
      </c>
      <c r="P51" s="104"/>
      <c r="Q51" s="105"/>
      <c r="R51" s="105"/>
      <c r="S51" s="104"/>
      <c r="T51" s="104"/>
      <c r="U51" s="77"/>
      <c r="V51" s="77"/>
      <c r="W51" s="105"/>
      <c r="X51" s="105"/>
      <c r="Y51" s="106"/>
      <c r="Z51" s="105"/>
      <c r="AA51" s="105"/>
      <c r="AB51" s="105"/>
      <c r="AC51" s="106"/>
      <c r="AD51" s="105"/>
      <c r="AE51" s="106"/>
      <c r="AF51" s="105"/>
      <c r="AG51" s="105"/>
      <c r="AH51" s="106"/>
      <c r="AI51" s="106"/>
      <c r="AJ51" s="106"/>
      <c r="AK51" s="106"/>
      <c r="AL51" s="106"/>
      <c r="AM51" s="106"/>
      <c r="AN51" s="107"/>
      <c r="AO51" s="107"/>
      <c r="AP51" s="77"/>
      <c r="AQ51" s="107"/>
      <c r="AR51" s="113"/>
      <c r="AS51" s="77"/>
      <c r="AT51" s="77"/>
      <c r="AU51" s="107"/>
      <c r="AV51" s="77"/>
      <c r="AW51" s="77"/>
      <c r="AX51" s="107"/>
      <c r="AY51" s="105"/>
      <c r="AZ51" s="117"/>
      <c r="BA51" s="117"/>
      <c r="BB51" s="117"/>
      <c r="BC51" s="117"/>
      <c r="BD51" s="117"/>
      <c r="BE51" s="117"/>
      <c r="BF51" s="117"/>
      <c r="BG51" s="107"/>
      <c r="BH51" s="107"/>
      <c r="BI51" s="77"/>
      <c r="BJ51" s="107"/>
      <c r="BK51" s="77"/>
      <c r="BL51" s="77"/>
      <c r="BM51" s="113"/>
      <c r="BN51" s="77"/>
      <c r="BO51" s="77"/>
      <c r="BP51" s="77"/>
      <c r="BQ51" s="77"/>
      <c r="BR51" s="77"/>
      <c r="BS51" s="77"/>
      <c r="BT51" s="113"/>
      <c r="BU51" s="107"/>
      <c r="BV51" s="77"/>
      <c r="BW51" s="7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8"/>
      <c r="CW51" s="107"/>
      <c r="CX51" s="107"/>
      <c r="CY51" s="107"/>
      <c r="CZ51" s="107"/>
      <c r="DA51" s="112"/>
      <c r="DB51" s="112"/>
      <c r="DC51" s="112"/>
      <c r="DD51" s="112"/>
      <c r="DE51" s="112"/>
      <c r="DF51" s="112"/>
      <c r="DG51" s="112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3"/>
      <c r="FR51" s="13"/>
      <c r="FS51" s="12"/>
      <c r="FT51" s="12"/>
      <c r="FU51" s="12"/>
      <c r="FV51" s="12"/>
      <c r="FW51" s="12"/>
      <c r="FX51" s="12"/>
    </row>
    <row r="52" spans="1:180" ht="15.75" customHeight="1" hidden="1">
      <c r="A52" s="103" t="s">
        <v>55</v>
      </c>
      <c r="B52" s="41"/>
      <c r="C52" s="41"/>
      <c r="D52" s="41"/>
      <c r="E52" s="90">
        <v>5</v>
      </c>
      <c r="F52" s="90">
        <v>19</v>
      </c>
      <c r="G52" s="90">
        <v>21</v>
      </c>
      <c r="H52" s="90">
        <v>72</v>
      </c>
      <c r="I52" s="90">
        <v>5</v>
      </c>
      <c r="J52" s="118" t="s">
        <v>29</v>
      </c>
      <c r="K52" s="90">
        <v>16</v>
      </c>
      <c r="L52" s="90">
        <v>94</v>
      </c>
      <c r="M52" s="90">
        <v>15</v>
      </c>
      <c r="N52" s="104">
        <v>6</v>
      </c>
      <c r="O52" s="105">
        <v>4</v>
      </c>
      <c r="P52" s="113" t="s">
        <v>80</v>
      </c>
      <c r="Q52" s="113" t="s">
        <v>80</v>
      </c>
      <c r="R52" s="113" t="s">
        <v>80</v>
      </c>
      <c r="S52" s="114" t="s">
        <v>29</v>
      </c>
      <c r="T52" s="114" t="s">
        <v>29</v>
      </c>
      <c r="U52" s="115" t="s">
        <v>66</v>
      </c>
      <c r="V52" s="113" t="s">
        <v>29</v>
      </c>
      <c r="W52" s="115" t="s">
        <v>80</v>
      </c>
      <c r="X52" s="119" t="s">
        <v>29</v>
      </c>
      <c r="Y52" s="130" t="s">
        <v>29</v>
      </c>
      <c r="Z52" s="119" t="s">
        <v>29</v>
      </c>
      <c r="AA52" s="119" t="s">
        <v>29</v>
      </c>
      <c r="AB52" s="115" t="s">
        <v>80</v>
      </c>
      <c r="AC52" s="115" t="s">
        <v>80</v>
      </c>
      <c r="AD52" s="116" t="s">
        <v>29</v>
      </c>
      <c r="AE52" s="120" t="s">
        <v>80</v>
      </c>
      <c r="AF52" s="117" t="s">
        <v>29</v>
      </c>
      <c r="AG52" s="117" t="s">
        <v>29</v>
      </c>
      <c r="AH52" s="117" t="s">
        <v>29</v>
      </c>
      <c r="AI52" s="113" t="s">
        <v>29</v>
      </c>
      <c r="AJ52" s="113" t="s">
        <v>29</v>
      </c>
      <c r="AK52" s="113" t="s">
        <v>29</v>
      </c>
      <c r="AL52" s="113" t="s">
        <v>29</v>
      </c>
      <c r="AM52" s="113">
        <v>58.84</v>
      </c>
      <c r="AN52" s="113" t="s">
        <v>29</v>
      </c>
      <c r="AO52" s="113" t="s">
        <v>29</v>
      </c>
      <c r="AP52" s="113" t="s">
        <v>29</v>
      </c>
      <c r="AQ52" s="113" t="s">
        <v>29</v>
      </c>
      <c r="AR52" s="113">
        <v>15.6</v>
      </c>
      <c r="AS52" s="113" t="s">
        <v>29</v>
      </c>
      <c r="AT52" s="113">
        <v>9.85</v>
      </c>
      <c r="AU52" s="113" t="s">
        <v>29</v>
      </c>
      <c r="AV52" s="113" t="s">
        <v>29</v>
      </c>
      <c r="AW52" s="113">
        <v>7.82</v>
      </c>
      <c r="AX52" s="113">
        <v>18.85</v>
      </c>
      <c r="AY52" s="113">
        <v>6.72</v>
      </c>
      <c r="AZ52" s="77">
        <f>SUM(AN52:AY52)</f>
        <v>58.839999999999996</v>
      </c>
      <c r="BA52" s="77">
        <v>22</v>
      </c>
      <c r="BB52" s="77" t="s">
        <v>29</v>
      </c>
      <c r="BC52" s="77"/>
      <c r="BD52" s="77"/>
      <c r="BE52" s="77"/>
      <c r="BF52" s="77"/>
      <c r="BG52" s="107">
        <v>0</v>
      </c>
      <c r="BH52" s="107"/>
      <c r="BI52" s="113" t="s">
        <v>29</v>
      </c>
      <c r="BJ52" s="113" t="s">
        <v>29</v>
      </c>
      <c r="BK52" s="113" t="s">
        <v>29</v>
      </c>
      <c r="BL52" s="113" t="s">
        <v>29</v>
      </c>
      <c r="BM52" s="113" t="s">
        <v>29</v>
      </c>
      <c r="BN52" s="113" t="s">
        <v>29</v>
      </c>
      <c r="BO52" s="113" t="s">
        <v>29</v>
      </c>
      <c r="BP52" s="113" t="s">
        <v>29</v>
      </c>
      <c r="BQ52" s="113" t="s">
        <v>29</v>
      </c>
      <c r="BR52" s="113" t="s">
        <v>29</v>
      </c>
      <c r="BS52" s="113" t="s">
        <v>29</v>
      </c>
      <c r="BT52" s="113" t="s">
        <v>29</v>
      </c>
      <c r="BU52" s="113" t="s">
        <v>29</v>
      </c>
      <c r="BV52" s="113" t="s">
        <v>29</v>
      </c>
      <c r="BW52" s="113" t="s">
        <v>29</v>
      </c>
      <c r="BX52" s="113" t="s">
        <v>29</v>
      </c>
      <c r="BY52" s="113" t="s">
        <v>29</v>
      </c>
      <c r="BZ52" s="113" t="s">
        <v>29</v>
      </c>
      <c r="CA52" s="113" t="s">
        <v>29</v>
      </c>
      <c r="CB52" s="113" t="s">
        <v>29</v>
      </c>
      <c r="CC52" s="113" t="s">
        <v>29</v>
      </c>
      <c r="CD52" s="113" t="s">
        <v>29</v>
      </c>
      <c r="CE52" s="113" t="s">
        <v>29</v>
      </c>
      <c r="CF52" s="113" t="s">
        <v>29</v>
      </c>
      <c r="CG52" s="113" t="s">
        <v>29</v>
      </c>
      <c r="CH52" s="113" t="s">
        <v>29</v>
      </c>
      <c r="CI52" s="111">
        <v>0</v>
      </c>
      <c r="CJ52" s="111">
        <v>0</v>
      </c>
      <c r="CK52" s="111" t="s">
        <v>29</v>
      </c>
      <c r="CL52" s="111"/>
      <c r="CM52" s="111"/>
      <c r="CN52" s="111"/>
      <c r="CO52" s="111"/>
      <c r="CP52" s="111"/>
      <c r="CQ52" s="111"/>
      <c r="CR52" s="111"/>
      <c r="CS52" s="111"/>
      <c r="CT52" s="111"/>
      <c r="CU52" s="135"/>
      <c r="CV52" s="117"/>
      <c r="CW52" s="135"/>
      <c r="CX52" s="135"/>
      <c r="CY52" s="135"/>
      <c r="CZ52" s="135"/>
      <c r="DA52" s="136"/>
      <c r="DB52" s="136"/>
      <c r="DC52" s="136"/>
      <c r="DD52" s="136"/>
      <c r="DE52" s="136"/>
      <c r="DF52" s="136"/>
      <c r="DG52" s="136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>
        <f aca="true" t="shared" si="59" ref="EH52:EH58">SUM(DV52:DY52)</f>
        <v>0</v>
      </c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>
        <f aca="true" t="shared" si="60" ref="EU52:EU58">SUM(EH52:EK52)</f>
        <v>0</v>
      </c>
      <c r="EV52" s="108">
        <v>0</v>
      </c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4"/>
      <c r="FR52" s="14"/>
      <c r="FS52" s="13"/>
      <c r="FT52" s="13"/>
      <c r="FU52" s="13"/>
      <c r="FV52" s="13"/>
      <c r="FW52" s="12"/>
      <c r="FX52" s="14"/>
    </row>
    <row r="53" spans="1:180" ht="15.75" customHeight="1" hidden="1">
      <c r="A53" s="103" t="s">
        <v>56</v>
      </c>
      <c r="B53" s="41"/>
      <c r="C53" s="41"/>
      <c r="D53" s="41"/>
      <c r="E53" s="90">
        <v>75</v>
      </c>
      <c r="F53" s="90">
        <v>81</v>
      </c>
      <c r="G53" s="90">
        <v>32</v>
      </c>
      <c r="H53" s="90">
        <v>19</v>
      </c>
      <c r="I53" s="90">
        <v>16</v>
      </c>
      <c r="J53" s="90">
        <v>4</v>
      </c>
      <c r="K53" s="90">
        <v>37</v>
      </c>
      <c r="L53" s="90">
        <v>40</v>
      </c>
      <c r="M53" s="73" t="s">
        <v>29</v>
      </c>
      <c r="N53" s="114" t="s">
        <v>29</v>
      </c>
      <c r="O53" s="113" t="s">
        <v>29</v>
      </c>
      <c r="P53" s="114" t="s">
        <v>29</v>
      </c>
      <c r="Q53" s="113" t="s">
        <v>29</v>
      </c>
      <c r="R53" s="115" t="s">
        <v>66</v>
      </c>
      <c r="S53" s="114" t="s">
        <v>29</v>
      </c>
      <c r="T53" s="114" t="s">
        <v>29</v>
      </c>
      <c r="U53" s="115" t="s">
        <v>66</v>
      </c>
      <c r="V53" s="113" t="s">
        <v>29</v>
      </c>
      <c r="W53" s="116" t="s">
        <v>29</v>
      </c>
      <c r="X53" s="116" t="s">
        <v>29</v>
      </c>
      <c r="Y53" s="130" t="s">
        <v>29</v>
      </c>
      <c r="Z53" s="116" t="s">
        <v>29</v>
      </c>
      <c r="AA53" s="119" t="s">
        <v>29</v>
      </c>
      <c r="AB53" s="126" t="s">
        <v>29</v>
      </c>
      <c r="AC53" s="124" t="s">
        <v>29</v>
      </c>
      <c r="AD53" s="116" t="s">
        <v>29</v>
      </c>
      <c r="AE53" s="106">
        <f>SUM(S53:Z53)</f>
        <v>0</v>
      </c>
      <c r="AF53" s="105">
        <v>0</v>
      </c>
      <c r="AG53" s="105"/>
      <c r="AH53" s="106"/>
      <c r="AI53" s="106"/>
      <c r="AJ53" s="106"/>
      <c r="AK53" s="113"/>
      <c r="AL53" s="113"/>
      <c r="AM53" s="77">
        <f>SUM(Z53:AK53)</f>
        <v>0</v>
      </c>
      <c r="AN53" s="113"/>
      <c r="AO53" s="113"/>
      <c r="AP53" s="113"/>
      <c r="AQ53" s="113"/>
      <c r="AR53" s="113"/>
      <c r="AS53" s="113" t="s">
        <v>29</v>
      </c>
      <c r="AT53" s="113"/>
      <c r="AU53" s="113" t="s">
        <v>29</v>
      </c>
      <c r="AV53" s="113"/>
      <c r="AW53" s="113"/>
      <c r="AX53" s="77"/>
      <c r="AY53" s="113"/>
      <c r="AZ53" s="77">
        <f>SUM(AN53:AX53)</f>
        <v>0</v>
      </c>
      <c r="BA53" s="77">
        <v>0</v>
      </c>
      <c r="BB53" s="77">
        <v>0</v>
      </c>
      <c r="BC53" s="77"/>
      <c r="BD53" s="77"/>
      <c r="BE53" s="77"/>
      <c r="BF53" s="77"/>
      <c r="BG53" s="107">
        <v>0</v>
      </c>
      <c r="BH53" s="107"/>
      <c r="BI53" s="113"/>
      <c r="BJ53" s="117"/>
      <c r="BK53" s="113" t="s">
        <v>29</v>
      </c>
      <c r="BL53" s="113"/>
      <c r="BM53" s="113"/>
      <c r="BN53" s="113"/>
      <c r="BO53" s="113"/>
      <c r="BP53" s="113"/>
      <c r="BQ53" s="113"/>
      <c r="BR53" s="113"/>
      <c r="BS53" s="77"/>
      <c r="BT53" s="113"/>
      <c r="BU53" s="107">
        <f>SUM(BI53:BS53)</f>
        <v>0</v>
      </c>
      <c r="BV53" s="113" t="s">
        <v>29</v>
      </c>
      <c r="BW53" s="113" t="s">
        <v>29</v>
      </c>
      <c r="BX53" s="117"/>
      <c r="BY53" s="113"/>
      <c r="BZ53" s="113" t="s">
        <v>29</v>
      </c>
      <c r="CA53" s="117"/>
      <c r="CB53" s="117"/>
      <c r="CC53" s="117"/>
      <c r="CD53" s="117"/>
      <c r="CE53" s="117"/>
      <c r="CF53" s="117"/>
      <c r="CG53" s="117"/>
      <c r="CH53" s="107">
        <f>SUM(BV53:BX53)</f>
        <v>0</v>
      </c>
      <c r="CI53" s="111">
        <v>0</v>
      </c>
      <c r="CJ53" s="111"/>
      <c r="CK53" s="111" t="s">
        <v>29</v>
      </c>
      <c r="CL53" s="111"/>
      <c r="CM53" s="111"/>
      <c r="CN53" s="111"/>
      <c r="CO53" s="111"/>
      <c r="CP53" s="111"/>
      <c r="CQ53" s="111"/>
      <c r="CR53" s="111"/>
      <c r="CS53" s="111"/>
      <c r="CT53" s="111"/>
      <c r="CU53" s="135"/>
      <c r="CV53" s="108"/>
      <c r="CW53" s="135"/>
      <c r="CX53" s="135"/>
      <c r="CY53" s="135"/>
      <c r="CZ53" s="135"/>
      <c r="DA53" s="136"/>
      <c r="DB53" s="136"/>
      <c r="DC53" s="136"/>
      <c r="DD53" s="136"/>
      <c r="DE53" s="136"/>
      <c r="DF53" s="136"/>
      <c r="DG53" s="136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>
        <f t="shared" si="59"/>
        <v>0</v>
      </c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>
        <f t="shared" si="60"/>
        <v>0</v>
      </c>
      <c r="EV53" s="108">
        <v>0</v>
      </c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4"/>
      <c r="FR53" s="14"/>
      <c r="FS53" s="14"/>
      <c r="FT53" s="14"/>
      <c r="FU53" s="14"/>
      <c r="FV53" s="14"/>
      <c r="FW53" s="14"/>
      <c r="FX53" s="14"/>
    </row>
    <row r="54" spans="1:180" ht="15.75" customHeight="1" hidden="1">
      <c r="A54" s="103" t="s">
        <v>57</v>
      </c>
      <c r="B54" s="41"/>
      <c r="C54" s="41"/>
      <c r="D54" s="41"/>
      <c r="E54" s="90">
        <v>492</v>
      </c>
      <c r="F54" s="90">
        <v>414</v>
      </c>
      <c r="G54" s="90">
        <v>198</v>
      </c>
      <c r="H54" s="90">
        <v>162</v>
      </c>
      <c r="I54" s="118" t="s">
        <v>29</v>
      </c>
      <c r="J54" s="118" t="s">
        <v>29</v>
      </c>
      <c r="K54" s="90">
        <v>74</v>
      </c>
      <c r="L54" s="90">
        <v>589</v>
      </c>
      <c r="M54" s="73" t="s">
        <v>29</v>
      </c>
      <c r="N54" s="114" t="s">
        <v>29</v>
      </c>
      <c r="O54" s="113" t="s">
        <v>29</v>
      </c>
      <c r="P54" s="114" t="s">
        <v>29</v>
      </c>
      <c r="Q54" s="113" t="s">
        <v>29</v>
      </c>
      <c r="R54" s="115" t="s">
        <v>66</v>
      </c>
      <c r="S54" s="114" t="s">
        <v>29</v>
      </c>
      <c r="T54" s="114" t="s">
        <v>29</v>
      </c>
      <c r="U54" s="115" t="s">
        <v>66</v>
      </c>
      <c r="V54" s="113" t="s">
        <v>29</v>
      </c>
      <c r="W54" s="116" t="s">
        <v>29</v>
      </c>
      <c r="X54" s="116" t="s">
        <v>29</v>
      </c>
      <c r="Y54" s="130" t="s">
        <v>29</v>
      </c>
      <c r="Z54" s="116" t="s">
        <v>29</v>
      </c>
      <c r="AA54" s="119" t="s">
        <v>29</v>
      </c>
      <c r="AB54" s="126" t="s">
        <v>29</v>
      </c>
      <c r="AC54" s="124" t="s">
        <v>29</v>
      </c>
      <c r="AD54" s="116" t="s">
        <v>29</v>
      </c>
      <c r="AE54" s="106">
        <f>SUM(S54:Z54)</f>
        <v>0</v>
      </c>
      <c r="AF54" s="105">
        <v>0</v>
      </c>
      <c r="AG54" s="105"/>
      <c r="AH54" s="106"/>
      <c r="AI54" s="106"/>
      <c r="AJ54" s="106"/>
      <c r="AK54" s="113"/>
      <c r="AL54" s="113"/>
      <c r="AM54" s="77">
        <f>SUM(Z54:AK54)</f>
        <v>0</v>
      </c>
      <c r="AN54" s="113"/>
      <c r="AO54" s="113"/>
      <c r="AP54" s="113"/>
      <c r="AQ54" s="113"/>
      <c r="AR54" s="113"/>
      <c r="AS54" s="113" t="s">
        <v>29</v>
      </c>
      <c r="AT54" s="113"/>
      <c r="AU54" s="113" t="s">
        <v>29</v>
      </c>
      <c r="AV54" s="113"/>
      <c r="AW54" s="113"/>
      <c r="AX54" s="77"/>
      <c r="AY54" s="113"/>
      <c r="AZ54" s="77">
        <f>SUM(AN54:AX54)</f>
        <v>0</v>
      </c>
      <c r="BA54" s="77">
        <v>0</v>
      </c>
      <c r="BB54" s="77">
        <v>0</v>
      </c>
      <c r="BC54" s="77"/>
      <c r="BD54" s="77"/>
      <c r="BE54" s="77"/>
      <c r="BF54" s="77"/>
      <c r="BG54" s="107">
        <v>0</v>
      </c>
      <c r="BH54" s="107"/>
      <c r="BI54" s="113"/>
      <c r="BJ54" s="117"/>
      <c r="BK54" s="113" t="s">
        <v>29</v>
      </c>
      <c r="BL54" s="113"/>
      <c r="BM54" s="113"/>
      <c r="BN54" s="113"/>
      <c r="BO54" s="113"/>
      <c r="BP54" s="113"/>
      <c r="BQ54" s="113"/>
      <c r="BR54" s="113"/>
      <c r="BS54" s="77"/>
      <c r="BT54" s="113"/>
      <c r="BU54" s="107">
        <f>SUM(BI54:BS54)</f>
        <v>0</v>
      </c>
      <c r="BV54" s="113" t="s">
        <v>29</v>
      </c>
      <c r="BW54" s="113" t="s">
        <v>29</v>
      </c>
      <c r="BX54" s="117"/>
      <c r="BY54" s="113"/>
      <c r="BZ54" s="113" t="s">
        <v>29</v>
      </c>
      <c r="CA54" s="117"/>
      <c r="CB54" s="117"/>
      <c r="CC54" s="117"/>
      <c r="CD54" s="117"/>
      <c r="CE54" s="117"/>
      <c r="CF54" s="117"/>
      <c r="CG54" s="117"/>
      <c r="CH54" s="107">
        <f>SUM(BV54:BX54)</f>
        <v>0</v>
      </c>
      <c r="CI54" s="111">
        <v>0</v>
      </c>
      <c r="CJ54" s="111"/>
      <c r="CK54" s="111" t="s">
        <v>29</v>
      </c>
      <c r="CL54" s="111"/>
      <c r="CM54" s="111"/>
      <c r="CN54" s="111"/>
      <c r="CO54" s="111"/>
      <c r="CP54" s="111"/>
      <c r="CQ54" s="111"/>
      <c r="CR54" s="111"/>
      <c r="CS54" s="111"/>
      <c r="CT54" s="111"/>
      <c r="CU54" s="135"/>
      <c r="CV54" s="108"/>
      <c r="CW54" s="135"/>
      <c r="CX54" s="135"/>
      <c r="CY54" s="135"/>
      <c r="CZ54" s="135"/>
      <c r="DA54" s="136"/>
      <c r="DB54" s="136"/>
      <c r="DC54" s="136"/>
      <c r="DD54" s="136"/>
      <c r="DE54" s="136"/>
      <c r="DF54" s="136"/>
      <c r="DG54" s="136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>
        <f t="shared" si="59"/>
        <v>0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>
        <f t="shared" si="60"/>
        <v>0</v>
      </c>
      <c r="EV54" s="108">
        <v>0</v>
      </c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4"/>
      <c r="FR54" s="14"/>
      <c r="FS54" s="20"/>
      <c r="FT54" s="13"/>
      <c r="FU54" s="13"/>
      <c r="FV54" s="13"/>
      <c r="FW54" s="12"/>
      <c r="FX54" s="14"/>
    </row>
    <row r="55" spans="1:180" ht="15.75" customHeight="1" hidden="1">
      <c r="A55" s="103" t="s">
        <v>58</v>
      </c>
      <c r="B55" s="41"/>
      <c r="C55" s="41"/>
      <c r="D55" s="41"/>
      <c r="E55" s="90">
        <v>3813</v>
      </c>
      <c r="F55" s="90">
        <v>1367</v>
      </c>
      <c r="G55" s="90">
        <v>4708</v>
      </c>
      <c r="H55" s="90">
        <v>3695</v>
      </c>
      <c r="I55" s="90">
        <v>6454</v>
      </c>
      <c r="J55" s="90">
        <v>4453</v>
      </c>
      <c r="K55" s="90">
        <v>1835</v>
      </c>
      <c r="L55" s="90">
        <v>78</v>
      </c>
      <c r="M55" s="90">
        <v>613</v>
      </c>
      <c r="N55" s="104">
        <v>2311</v>
      </c>
      <c r="O55" s="113" t="s">
        <v>80</v>
      </c>
      <c r="P55" s="104">
        <v>369</v>
      </c>
      <c r="Q55" s="105">
        <v>180</v>
      </c>
      <c r="R55" s="113" t="s">
        <v>80</v>
      </c>
      <c r="S55" s="114" t="s">
        <v>29</v>
      </c>
      <c r="T55" s="114" t="s">
        <v>29</v>
      </c>
      <c r="U55" s="115" t="s">
        <v>66</v>
      </c>
      <c r="V55" s="113" t="s">
        <v>29</v>
      </c>
      <c r="W55" s="115" t="s">
        <v>80</v>
      </c>
      <c r="X55" s="119" t="s">
        <v>29</v>
      </c>
      <c r="Y55" s="130" t="s">
        <v>29</v>
      </c>
      <c r="Z55" s="119" t="s">
        <v>29</v>
      </c>
      <c r="AA55" s="119" t="s">
        <v>29</v>
      </c>
      <c r="AB55" s="115" t="s">
        <v>80</v>
      </c>
      <c r="AC55" s="115" t="s">
        <v>80</v>
      </c>
      <c r="AD55" s="116" t="s">
        <v>29</v>
      </c>
      <c r="AE55" s="120" t="s">
        <v>80</v>
      </c>
      <c r="AF55" s="113">
        <v>128</v>
      </c>
      <c r="AG55" s="113">
        <v>163</v>
      </c>
      <c r="AH55" s="117" t="s">
        <v>29</v>
      </c>
      <c r="AI55" s="113" t="s">
        <v>29</v>
      </c>
      <c r="AJ55" s="113" t="s">
        <v>29</v>
      </c>
      <c r="AK55" s="113" t="s">
        <v>29</v>
      </c>
      <c r="AL55" s="113">
        <v>190.16</v>
      </c>
      <c r="AM55" s="113" t="s">
        <v>29</v>
      </c>
      <c r="AN55" s="113" t="s">
        <v>29</v>
      </c>
      <c r="AO55" s="113" t="s">
        <v>29</v>
      </c>
      <c r="AP55" s="113" t="s">
        <v>29</v>
      </c>
      <c r="AQ55" s="113" t="s">
        <v>29</v>
      </c>
      <c r="AR55" s="113" t="s">
        <v>29</v>
      </c>
      <c r="AS55" s="113" t="s">
        <v>29</v>
      </c>
      <c r="AT55" s="113" t="s">
        <v>29</v>
      </c>
      <c r="AU55" s="113" t="s">
        <v>29</v>
      </c>
      <c r="AV55" s="113" t="s">
        <v>29</v>
      </c>
      <c r="AW55" s="113" t="s">
        <v>29</v>
      </c>
      <c r="AX55" s="113" t="s">
        <v>29</v>
      </c>
      <c r="AY55" s="113" t="s">
        <v>29</v>
      </c>
      <c r="AZ55" s="113" t="s">
        <v>29</v>
      </c>
      <c r="BA55" s="113" t="s">
        <v>29</v>
      </c>
      <c r="BB55" s="113" t="s">
        <v>29</v>
      </c>
      <c r="BC55" s="113"/>
      <c r="BD55" s="113"/>
      <c r="BE55" s="113"/>
      <c r="BF55" s="113"/>
      <c r="BG55" s="107">
        <v>0</v>
      </c>
      <c r="BH55" s="107"/>
      <c r="BI55" s="113" t="s">
        <v>29</v>
      </c>
      <c r="BJ55" s="113" t="s">
        <v>29</v>
      </c>
      <c r="BK55" s="113" t="s">
        <v>29</v>
      </c>
      <c r="BL55" s="113" t="s">
        <v>29</v>
      </c>
      <c r="BM55" s="113" t="s">
        <v>29</v>
      </c>
      <c r="BN55" s="113" t="s">
        <v>29</v>
      </c>
      <c r="BO55" s="113" t="s">
        <v>29</v>
      </c>
      <c r="BP55" s="113" t="s">
        <v>29</v>
      </c>
      <c r="BQ55" s="113" t="s">
        <v>29</v>
      </c>
      <c r="BR55" s="113" t="s">
        <v>29</v>
      </c>
      <c r="BS55" s="113" t="s">
        <v>29</v>
      </c>
      <c r="BT55" s="113" t="s">
        <v>29</v>
      </c>
      <c r="BU55" s="113" t="s">
        <v>29</v>
      </c>
      <c r="BV55" s="113" t="s">
        <v>29</v>
      </c>
      <c r="BW55" s="113" t="s">
        <v>29</v>
      </c>
      <c r="BX55" s="113" t="s">
        <v>29</v>
      </c>
      <c r="BY55" s="113" t="s">
        <v>29</v>
      </c>
      <c r="BZ55" s="113" t="s">
        <v>29</v>
      </c>
      <c r="CA55" s="113" t="s">
        <v>29</v>
      </c>
      <c r="CB55" s="113" t="s">
        <v>29</v>
      </c>
      <c r="CC55" s="113" t="s">
        <v>29</v>
      </c>
      <c r="CD55" s="113" t="s">
        <v>29</v>
      </c>
      <c r="CE55" s="113" t="s">
        <v>29</v>
      </c>
      <c r="CF55" s="113" t="s">
        <v>29</v>
      </c>
      <c r="CG55" s="113" t="s">
        <v>29</v>
      </c>
      <c r="CH55" s="113" t="s">
        <v>29</v>
      </c>
      <c r="CI55" s="111">
        <v>0</v>
      </c>
      <c r="CJ55" s="111">
        <v>0</v>
      </c>
      <c r="CK55" s="111" t="s">
        <v>29</v>
      </c>
      <c r="CL55" s="111"/>
      <c r="CM55" s="111"/>
      <c r="CN55" s="111"/>
      <c r="CO55" s="111"/>
      <c r="CP55" s="111"/>
      <c r="CQ55" s="111"/>
      <c r="CR55" s="111"/>
      <c r="CS55" s="111"/>
      <c r="CT55" s="111"/>
      <c r="CU55" s="135"/>
      <c r="CV55" s="117"/>
      <c r="CW55" s="135"/>
      <c r="CX55" s="135"/>
      <c r="CY55" s="135"/>
      <c r="CZ55" s="135"/>
      <c r="DA55" s="136"/>
      <c r="DB55" s="136"/>
      <c r="DC55" s="136"/>
      <c r="DD55" s="136"/>
      <c r="DE55" s="136"/>
      <c r="DF55" s="136"/>
      <c r="DG55" s="136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>
        <f t="shared" si="59"/>
        <v>0</v>
      </c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>
        <f t="shared" si="60"/>
        <v>0</v>
      </c>
      <c r="EV55" s="108">
        <v>0</v>
      </c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4"/>
      <c r="FR55" s="14"/>
      <c r="FS55" s="20"/>
      <c r="FT55" s="13"/>
      <c r="FU55" s="13"/>
      <c r="FV55" s="13"/>
      <c r="FW55" s="12"/>
      <c r="FX55" s="14"/>
    </row>
    <row r="56" spans="1:180" ht="15.75" customHeight="1" hidden="1">
      <c r="A56" s="103" t="s">
        <v>59</v>
      </c>
      <c r="B56" s="41"/>
      <c r="C56" s="41"/>
      <c r="D56" s="41"/>
      <c r="E56" s="90">
        <v>354</v>
      </c>
      <c r="F56" s="90">
        <v>506</v>
      </c>
      <c r="G56" s="90">
        <v>617</v>
      </c>
      <c r="H56" s="90">
        <v>313</v>
      </c>
      <c r="I56" s="90">
        <v>503</v>
      </c>
      <c r="J56" s="90">
        <v>284</v>
      </c>
      <c r="K56" s="90">
        <v>445</v>
      </c>
      <c r="L56" s="90">
        <v>416</v>
      </c>
      <c r="M56" s="90">
        <v>271</v>
      </c>
      <c r="N56" s="104">
        <v>26</v>
      </c>
      <c r="O56" s="113" t="s">
        <v>80</v>
      </c>
      <c r="P56" s="104">
        <v>14</v>
      </c>
      <c r="Q56" s="105">
        <v>3096</v>
      </c>
      <c r="R56" s="105">
        <v>225</v>
      </c>
      <c r="S56" s="114" t="s">
        <v>29</v>
      </c>
      <c r="T56" s="114" t="s">
        <v>29</v>
      </c>
      <c r="U56" s="77">
        <v>31</v>
      </c>
      <c r="V56" s="113" t="s">
        <v>29</v>
      </c>
      <c r="W56" s="105">
        <v>54</v>
      </c>
      <c r="X56" s="119" t="s">
        <v>29</v>
      </c>
      <c r="Y56" s="130" t="s">
        <v>29</v>
      </c>
      <c r="Z56" s="105">
        <v>32</v>
      </c>
      <c r="AA56" s="105">
        <v>108</v>
      </c>
      <c r="AB56" s="115" t="s">
        <v>80</v>
      </c>
      <c r="AC56" s="115" t="s">
        <v>80</v>
      </c>
      <c r="AD56" s="116" t="s">
        <v>29</v>
      </c>
      <c r="AE56" s="106">
        <f>SUM(S56:AD56)</f>
        <v>225</v>
      </c>
      <c r="AF56" s="117" t="s">
        <v>29</v>
      </c>
      <c r="AG56" s="117" t="s">
        <v>29</v>
      </c>
      <c r="AH56" s="117" t="s">
        <v>29</v>
      </c>
      <c r="AI56" s="113" t="s">
        <v>29</v>
      </c>
      <c r="AJ56" s="113" t="s">
        <v>29</v>
      </c>
      <c r="AK56" s="113" t="s">
        <v>29</v>
      </c>
      <c r="AL56" s="113" t="s">
        <v>29</v>
      </c>
      <c r="AM56" s="113" t="s">
        <v>29</v>
      </c>
      <c r="AN56" s="113" t="s">
        <v>29</v>
      </c>
      <c r="AO56" s="113" t="s">
        <v>29</v>
      </c>
      <c r="AP56" s="113" t="s">
        <v>29</v>
      </c>
      <c r="AQ56" s="113" t="s">
        <v>29</v>
      </c>
      <c r="AR56" s="113" t="s">
        <v>29</v>
      </c>
      <c r="AS56" s="113" t="s">
        <v>29</v>
      </c>
      <c r="AT56" s="113" t="s">
        <v>29</v>
      </c>
      <c r="AU56" s="113" t="s">
        <v>29</v>
      </c>
      <c r="AV56" s="113" t="s">
        <v>29</v>
      </c>
      <c r="AW56" s="113" t="s">
        <v>29</v>
      </c>
      <c r="AX56" s="113" t="s">
        <v>29</v>
      </c>
      <c r="AY56" s="113" t="s">
        <v>29</v>
      </c>
      <c r="AZ56" s="113" t="s">
        <v>29</v>
      </c>
      <c r="BA56" s="113" t="s">
        <v>29</v>
      </c>
      <c r="BB56" s="113">
        <v>0</v>
      </c>
      <c r="BC56" s="113"/>
      <c r="BD56" s="113"/>
      <c r="BE56" s="113"/>
      <c r="BF56" s="113"/>
      <c r="BG56" s="107">
        <v>0</v>
      </c>
      <c r="BH56" s="107"/>
      <c r="BI56" s="113" t="s">
        <v>29</v>
      </c>
      <c r="BJ56" s="113" t="s">
        <v>29</v>
      </c>
      <c r="BK56" s="113" t="s">
        <v>29</v>
      </c>
      <c r="BL56" s="113" t="s">
        <v>29</v>
      </c>
      <c r="BM56" s="113" t="s">
        <v>29</v>
      </c>
      <c r="BN56" s="113" t="s">
        <v>29</v>
      </c>
      <c r="BO56" s="113" t="s">
        <v>29</v>
      </c>
      <c r="BP56" s="113" t="s">
        <v>29</v>
      </c>
      <c r="BQ56" s="113" t="s">
        <v>29</v>
      </c>
      <c r="BR56" s="113" t="s">
        <v>29</v>
      </c>
      <c r="BS56" s="113" t="s">
        <v>29</v>
      </c>
      <c r="BT56" s="113" t="s">
        <v>29</v>
      </c>
      <c r="BU56" s="107">
        <f>SUM(BI56:BS56)</f>
        <v>0</v>
      </c>
      <c r="BV56" s="113" t="s">
        <v>29</v>
      </c>
      <c r="BW56" s="113" t="s">
        <v>29</v>
      </c>
      <c r="BX56" s="113"/>
      <c r="BY56" s="113"/>
      <c r="BZ56" s="117"/>
      <c r="CA56" s="117"/>
      <c r="CB56" s="117"/>
      <c r="CC56" s="117"/>
      <c r="CD56" s="117"/>
      <c r="CE56" s="117"/>
      <c r="CF56" s="117"/>
      <c r="CG56" s="117"/>
      <c r="CH56" s="107">
        <f>SUM(BV56:BX56)</f>
        <v>0</v>
      </c>
      <c r="CI56" s="117"/>
      <c r="CJ56" s="117"/>
      <c r="CK56" s="117"/>
      <c r="CL56" s="111"/>
      <c r="CM56" s="135"/>
      <c r="CN56" s="135"/>
      <c r="CO56" s="135"/>
      <c r="CP56" s="135"/>
      <c r="CQ56" s="135"/>
      <c r="CR56" s="135"/>
      <c r="CS56" s="135"/>
      <c r="CT56" s="107"/>
      <c r="CU56" s="107"/>
      <c r="CV56" s="108"/>
      <c r="CW56" s="107"/>
      <c r="CX56" s="107"/>
      <c r="CY56" s="107"/>
      <c r="CZ56" s="107"/>
      <c r="DA56" s="112"/>
      <c r="DB56" s="112"/>
      <c r="DC56" s="112"/>
      <c r="DD56" s="112"/>
      <c r="DE56" s="112"/>
      <c r="DF56" s="112"/>
      <c r="DG56" s="112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>
        <f t="shared" si="59"/>
        <v>0</v>
      </c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>
        <f t="shared" si="60"/>
        <v>0</v>
      </c>
      <c r="EV56" s="108">
        <v>0</v>
      </c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4"/>
      <c r="FR56" s="14"/>
      <c r="FS56" s="14"/>
      <c r="FT56" s="14"/>
      <c r="FU56" s="14"/>
      <c r="FV56" s="14"/>
      <c r="FW56" s="14"/>
      <c r="FX56" s="14"/>
    </row>
    <row r="57" spans="1:180" ht="15.75">
      <c r="A57" s="103" t="s">
        <v>60</v>
      </c>
      <c r="B57" s="41"/>
      <c r="C57" s="41"/>
      <c r="D57" s="41"/>
      <c r="E57" s="90">
        <v>61733</v>
      </c>
      <c r="F57" s="90">
        <v>55754</v>
      </c>
      <c r="G57" s="90">
        <v>61859</v>
      </c>
      <c r="H57" s="90">
        <v>68027</v>
      </c>
      <c r="I57" s="90">
        <v>79596</v>
      </c>
      <c r="J57" s="90">
        <v>72026</v>
      </c>
      <c r="K57" s="90">
        <v>56809</v>
      </c>
      <c r="L57" s="90">
        <v>39088</v>
      </c>
      <c r="M57" s="90">
        <v>39053</v>
      </c>
      <c r="N57" s="104">
        <v>24578</v>
      </c>
      <c r="O57" s="105">
        <v>23718</v>
      </c>
      <c r="P57" s="104">
        <v>36746</v>
      </c>
      <c r="Q57" s="105">
        <v>28273</v>
      </c>
      <c r="R57" s="105">
        <v>41047.85</v>
      </c>
      <c r="S57" s="104">
        <v>3675</v>
      </c>
      <c r="T57" s="104">
        <f>3086+40</f>
        <v>3126</v>
      </c>
      <c r="U57" s="113">
        <v>3543</v>
      </c>
      <c r="V57" s="77">
        <v>3139</v>
      </c>
      <c r="W57" s="105">
        <v>3825</v>
      </c>
      <c r="X57" s="116">
        <v>3245</v>
      </c>
      <c r="Y57" s="106">
        <v>1826</v>
      </c>
      <c r="Z57" s="105">
        <v>3745</v>
      </c>
      <c r="AA57" s="105">
        <v>5181</v>
      </c>
      <c r="AB57" s="105">
        <v>2605</v>
      </c>
      <c r="AC57" s="106">
        <v>4446</v>
      </c>
      <c r="AD57" s="105">
        <v>2691.85</v>
      </c>
      <c r="AE57" s="106">
        <f>SUM(S57:AD57)</f>
        <v>41047.85</v>
      </c>
      <c r="AF57" s="105">
        <v>44377.15</v>
      </c>
      <c r="AG57" s="105">
        <v>47868</v>
      </c>
      <c r="AH57" s="106">
        <v>55659</v>
      </c>
      <c r="AI57" s="106">
        <v>60854</v>
      </c>
      <c r="AJ57" s="106">
        <v>66742</v>
      </c>
      <c r="AK57" s="106">
        <v>53287</v>
      </c>
      <c r="AL57" s="106">
        <v>25012.599000000006</v>
      </c>
      <c r="AM57" s="106">
        <v>22441.45</v>
      </c>
      <c r="AN57" s="113">
        <v>349.3</v>
      </c>
      <c r="AO57" s="113">
        <v>2012</v>
      </c>
      <c r="AP57" s="77">
        <v>3005.85</v>
      </c>
      <c r="AQ57" s="77">
        <v>3131.1</v>
      </c>
      <c r="AR57" s="113">
        <v>2684.5</v>
      </c>
      <c r="AS57" s="77">
        <v>1448.65</v>
      </c>
      <c r="AT57" s="77">
        <v>2031.8</v>
      </c>
      <c r="AU57" s="77">
        <v>1277.1</v>
      </c>
      <c r="AV57" s="77">
        <v>1347.65</v>
      </c>
      <c r="AW57" s="77">
        <v>2437.6</v>
      </c>
      <c r="AX57" s="77">
        <v>1279.95</v>
      </c>
      <c r="AY57" s="77">
        <v>1435.95</v>
      </c>
      <c r="AZ57" s="77">
        <f>SUM(AN57:AY57)</f>
        <v>22441.45</v>
      </c>
      <c r="BA57" s="77">
        <v>52315.665</v>
      </c>
      <c r="BB57" s="77">
        <v>104242.4</v>
      </c>
      <c r="BC57" s="77">
        <v>82910.25000000001</v>
      </c>
      <c r="BD57" s="77">
        <v>47127.263999999996</v>
      </c>
      <c r="BE57" s="77">
        <v>19763.44</v>
      </c>
      <c r="BF57" s="77">
        <v>34239.626</v>
      </c>
      <c r="BG57" s="107">
        <v>12542.65</v>
      </c>
      <c r="BH57" s="107">
        <v>34740.508</v>
      </c>
      <c r="BI57" s="113">
        <v>3044.75</v>
      </c>
      <c r="BJ57" s="117">
        <v>1115</v>
      </c>
      <c r="BK57" s="77">
        <v>4528.8</v>
      </c>
      <c r="BL57" s="77">
        <v>2591</v>
      </c>
      <c r="BM57" s="113">
        <v>2305</v>
      </c>
      <c r="BN57" s="77">
        <v>5763.3</v>
      </c>
      <c r="BO57" s="77">
        <v>5249.215</v>
      </c>
      <c r="BP57" s="77">
        <v>7307.75</v>
      </c>
      <c r="BQ57" s="77">
        <v>4953.35</v>
      </c>
      <c r="BR57" s="77">
        <v>4186</v>
      </c>
      <c r="BS57" s="77">
        <v>5113.95</v>
      </c>
      <c r="BT57" s="77">
        <v>6157.55</v>
      </c>
      <c r="BU57" s="107">
        <f>SUM(BI57:BT57)</f>
        <v>52315.665</v>
      </c>
      <c r="BV57" s="105">
        <v>9837.95</v>
      </c>
      <c r="BW57" s="105">
        <v>7368.45</v>
      </c>
      <c r="BX57" s="106">
        <v>6096.75</v>
      </c>
      <c r="BY57" s="107">
        <v>6991.8</v>
      </c>
      <c r="BZ57" s="107">
        <v>5739.35</v>
      </c>
      <c r="CA57" s="107">
        <v>4602.95</v>
      </c>
      <c r="CB57" s="107">
        <v>6540.85</v>
      </c>
      <c r="CC57" s="107">
        <v>14579.55</v>
      </c>
      <c r="CD57" s="107">
        <v>8414.1</v>
      </c>
      <c r="CE57" s="107">
        <v>12438.45</v>
      </c>
      <c r="CF57" s="107">
        <v>11056.25</v>
      </c>
      <c r="CG57" s="107">
        <v>10575.95</v>
      </c>
      <c r="CH57" s="107">
        <f>SUM(BV57:CG57)</f>
        <v>104242.4</v>
      </c>
      <c r="CI57" s="107">
        <v>11792.15</v>
      </c>
      <c r="CJ57" s="107">
        <v>8284.04</v>
      </c>
      <c r="CK57" s="107">
        <v>9928.45</v>
      </c>
      <c r="CL57" s="107">
        <v>7393.91</v>
      </c>
      <c r="CM57" s="107">
        <v>4863.55</v>
      </c>
      <c r="CN57" s="107">
        <v>5877.34</v>
      </c>
      <c r="CO57" s="107">
        <v>9254.5</v>
      </c>
      <c r="CP57" s="107">
        <v>3236.4</v>
      </c>
      <c r="CQ57" s="107">
        <v>6080.45</v>
      </c>
      <c r="CR57" s="107">
        <v>5230.1</v>
      </c>
      <c r="CS57" s="107">
        <v>4818.85</v>
      </c>
      <c r="CT57" s="107">
        <v>6150.51</v>
      </c>
      <c r="CU57" s="107">
        <f>SUM(CI57:CT57)</f>
        <v>82910.25000000001</v>
      </c>
      <c r="CV57" s="108">
        <v>4626.144</v>
      </c>
      <c r="CW57" s="117">
        <v>3654.05</v>
      </c>
      <c r="CX57" s="117">
        <v>3888.7</v>
      </c>
      <c r="CY57" s="117">
        <v>9488.25</v>
      </c>
      <c r="CZ57" s="117">
        <v>4560.5</v>
      </c>
      <c r="DA57" s="123">
        <v>3606.45</v>
      </c>
      <c r="DB57" s="123">
        <v>4111.27</v>
      </c>
      <c r="DC57" s="123">
        <v>3325.35</v>
      </c>
      <c r="DD57" s="123">
        <v>1362.9</v>
      </c>
      <c r="DE57" s="123">
        <v>3984.95</v>
      </c>
      <c r="DF57" s="123">
        <v>1365.2</v>
      </c>
      <c r="DG57" s="123">
        <v>3153.5</v>
      </c>
      <c r="DH57" s="108">
        <f>SUM(CV57:DG57)</f>
        <v>47127.263999999996</v>
      </c>
      <c r="DI57" s="108">
        <v>382.35</v>
      </c>
      <c r="DJ57" s="108">
        <v>3015.835</v>
      </c>
      <c r="DK57" s="108">
        <v>2154.2</v>
      </c>
      <c r="DL57" s="108">
        <v>803.95</v>
      </c>
      <c r="DM57" s="108">
        <v>2748.95</v>
      </c>
      <c r="DN57" s="108">
        <v>2114.355</v>
      </c>
      <c r="DO57" s="108">
        <v>988.85</v>
      </c>
      <c r="DP57" s="108">
        <v>1740.9</v>
      </c>
      <c r="DQ57" s="108">
        <v>1600</v>
      </c>
      <c r="DR57" s="108">
        <v>267.75</v>
      </c>
      <c r="DS57" s="108">
        <f>1000+2</f>
        <v>1002</v>
      </c>
      <c r="DT57" s="108">
        <v>2944.3</v>
      </c>
      <c r="DU57" s="108">
        <f>SUM(DI57:DT57)</f>
        <v>19763.44</v>
      </c>
      <c r="DV57" s="108">
        <v>820.15</v>
      </c>
      <c r="DW57" s="108">
        <v>2759.5</v>
      </c>
      <c r="DX57" s="108">
        <v>2188.5</v>
      </c>
      <c r="DY57" s="108">
        <v>1015</v>
      </c>
      <c r="DZ57" s="108">
        <v>2632.6</v>
      </c>
      <c r="EA57" s="108">
        <v>2992.9</v>
      </c>
      <c r="EB57" s="108">
        <v>3934.5</v>
      </c>
      <c r="EC57" s="108">
        <v>4392.35</v>
      </c>
      <c r="ED57" s="108">
        <v>2443.476</v>
      </c>
      <c r="EE57" s="108">
        <v>4809.9</v>
      </c>
      <c r="EF57" s="108">
        <v>4170.85</v>
      </c>
      <c r="EG57" s="108">
        <v>2079.9</v>
      </c>
      <c r="EH57" s="108">
        <f>SUM(DV57:EG57)</f>
        <v>34239.626</v>
      </c>
      <c r="EI57" s="108">
        <v>1336.65</v>
      </c>
      <c r="EJ57" s="108">
        <v>21</v>
      </c>
      <c r="EK57" s="108">
        <v>1109.5</v>
      </c>
      <c r="EL57" s="108">
        <v>488.2</v>
      </c>
      <c r="EM57" s="108">
        <v>1418.7</v>
      </c>
      <c r="EN57" s="108">
        <v>405</v>
      </c>
      <c r="EO57" s="108">
        <v>1194.9</v>
      </c>
      <c r="EP57" s="108">
        <v>952.35</v>
      </c>
      <c r="EQ57" s="108">
        <v>2083.7</v>
      </c>
      <c r="ER57" s="108">
        <v>972.3</v>
      </c>
      <c r="ES57" s="108">
        <v>2052.95</v>
      </c>
      <c r="ET57" s="108">
        <v>507.4</v>
      </c>
      <c r="EU57" s="108">
        <f>SUM(EI57:ET57)</f>
        <v>12542.65</v>
      </c>
      <c r="EV57" s="108">
        <v>1032.5</v>
      </c>
      <c r="EW57" s="108">
        <v>1010</v>
      </c>
      <c r="EX57" s="108">
        <v>1593.3</v>
      </c>
      <c r="EY57" s="108">
        <v>1442.5</v>
      </c>
      <c r="EZ57" s="108">
        <v>1000</v>
      </c>
      <c r="FA57" s="108">
        <v>3850</v>
      </c>
      <c r="FB57" s="108">
        <v>3626.483</v>
      </c>
      <c r="FC57" s="108">
        <v>1693.1</v>
      </c>
      <c r="FD57" s="108">
        <v>3705.075</v>
      </c>
      <c r="FE57" s="108">
        <v>5680</v>
      </c>
      <c r="FF57" s="108">
        <v>5768</v>
      </c>
      <c r="FG57" s="108">
        <v>4339.55</v>
      </c>
      <c r="FH57" s="108">
        <f>SUM(EV57:FB57)</f>
        <v>13554.783</v>
      </c>
      <c r="FI57" s="108">
        <v>3042.598</v>
      </c>
      <c r="FJ57" s="108">
        <v>4712.599999999999</v>
      </c>
      <c r="FK57" s="108">
        <v>7283.1</v>
      </c>
      <c r="FL57" s="108">
        <v>2140</v>
      </c>
      <c r="FM57" s="108">
        <v>2810</v>
      </c>
      <c r="FN57" s="108">
        <v>6562.362</v>
      </c>
      <c r="FO57" s="108">
        <v>4610.4</v>
      </c>
      <c r="FP57" s="108">
        <f>SUM(FI57:FO57)</f>
        <v>31161.059999999998</v>
      </c>
      <c r="FQ57" s="13"/>
      <c r="FR57" s="30"/>
      <c r="FS57" s="14"/>
      <c r="FT57" s="14"/>
      <c r="FU57" s="14"/>
      <c r="FV57" s="14"/>
      <c r="FW57" s="14"/>
      <c r="FX57" s="14"/>
    </row>
    <row r="58" spans="1:180" ht="15.75" customHeight="1" hidden="1">
      <c r="A58" s="103" t="s">
        <v>61</v>
      </c>
      <c r="B58" s="41"/>
      <c r="C58" s="41"/>
      <c r="D58" s="41"/>
      <c r="E58" s="90">
        <v>189</v>
      </c>
      <c r="F58" s="90">
        <v>167</v>
      </c>
      <c r="G58" s="90">
        <v>326</v>
      </c>
      <c r="H58" s="90">
        <v>408</v>
      </c>
      <c r="I58" s="90">
        <v>285</v>
      </c>
      <c r="J58" s="90">
        <v>390</v>
      </c>
      <c r="K58" s="90">
        <v>874</v>
      </c>
      <c r="L58" s="90">
        <v>321</v>
      </c>
      <c r="M58" s="90">
        <v>55</v>
      </c>
      <c r="N58" s="104">
        <v>22</v>
      </c>
      <c r="O58" s="113" t="s">
        <v>80</v>
      </c>
      <c r="P58" s="113" t="s">
        <v>80</v>
      </c>
      <c r="Q58" s="113" t="s">
        <v>80</v>
      </c>
      <c r="R58" s="113" t="s">
        <v>80</v>
      </c>
      <c r="S58" s="126" t="s">
        <v>29</v>
      </c>
      <c r="T58" s="126" t="s">
        <v>29</v>
      </c>
      <c r="U58" s="115" t="s">
        <v>66</v>
      </c>
      <c r="V58" s="116" t="s">
        <v>29</v>
      </c>
      <c r="W58" s="115" t="s">
        <v>80</v>
      </c>
      <c r="X58" s="119" t="s">
        <v>29</v>
      </c>
      <c r="Y58" s="130" t="s">
        <v>29</v>
      </c>
      <c r="Z58" s="119" t="s">
        <v>29</v>
      </c>
      <c r="AA58" s="119" t="s">
        <v>29</v>
      </c>
      <c r="AB58" s="115" t="s">
        <v>80</v>
      </c>
      <c r="AC58" s="115" t="s">
        <v>80</v>
      </c>
      <c r="AD58" s="116" t="s">
        <v>29</v>
      </c>
      <c r="AE58" s="120" t="s">
        <v>80</v>
      </c>
      <c r="AF58" s="117" t="s">
        <v>29</v>
      </c>
      <c r="AG58" s="117" t="s">
        <v>29</v>
      </c>
      <c r="AH58" s="124" t="s">
        <v>29</v>
      </c>
      <c r="AI58" s="113" t="s">
        <v>29</v>
      </c>
      <c r="AJ58" s="113" t="s">
        <v>29</v>
      </c>
      <c r="AK58" s="113" t="s">
        <v>29</v>
      </c>
      <c r="AL58" s="113" t="s">
        <v>29</v>
      </c>
      <c r="AM58" s="113" t="s">
        <v>29</v>
      </c>
      <c r="AN58" s="113" t="s">
        <v>29</v>
      </c>
      <c r="AO58" s="113" t="s">
        <v>29</v>
      </c>
      <c r="AP58" s="113" t="s">
        <v>29</v>
      </c>
      <c r="AQ58" s="113" t="s">
        <v>29</v>
      </c>
      <c r="AR58" s="113" t="s">
        <v>29</v>
      </c>
      <c r="AS58" s="113" t="s">
        <v>29</v>
      </c>
      <c r="AT58" s="113" t="s">
        <v>29</v>
      </c>
      <c r="AU58" s="113" t="s">
        <v>29</v>
      </c>
      <c r="AV58" s="113" t="s">
        <v>29</v>
      </c>
      <c r="AW58" s="113" t="s">
        <v>29</v>
      </c>
      <c r="AX58" s="113" t="s">
        <v>29</v>
      </c>
      <c r="AY58" s="113" t="s">
        <v>29</v>
      </c>
      <c r="AZ58" s="113" t="s">
        <v>29</v>
      </c>
      <c r="BA58" s="113" t="s">
        <v>29</v>
      </c>
      <c r="BB58" s="113">
        <v>0</v>
      </c>
      <c r="BC58" s="113">
        <v>0</v>
      </c>
      <c r="BD58" s="113">
        <v>0</v>
      </c>
      <c r="BE58" s="113">
        <v>0</v>
      </c>
      <c r="BF58" s="113">
        <v>0</v>
      </c>
      <c r="BG58" s="107">
        <v>0</v>
      </c>
      <c r="BH58" s="107"/>
      <c r="BI58" s="113" t="s">
        <v>29</v>
      </c>
      <c r="BJ58" s="113" t="s">
        <v>29</v>
      </c>
      <c r="BK58" s="113" t="s">
        <v>29</v>
      </c>
      <c r="BL58" s="113" t="s">
        <v>29</v>
      </c>
      <c r="BM58" s="113" t="s">
        <v>29</v>
      </c>
      <c r="BN58" s="113" t="s">
        <v>29</v>
      </c>
      <c r="BO58" s="113" t="s">
        <v>29</v>
      </c>
      <c r="BP58" s="113" t="s">
        <v>29</v>
      </c>
      <c r="BQ58" s="113" t="s">
        <v>29</v>
      </c>
      <c r="BR58" s="113" t="s">
        <v>29</v>
      </c>
      <c r="BS58" s="113" t="s">
        <v>29</v>
      </c>
      <c r="BT58" s="113" t="s">
        <v>29</v>
      </c>
      <c r="BU58" s="107">
        <f>SUM(BI58:BT58)</f>
        <v>0</v>
      </c>
      <c r="BV58" s="113" t="s">
        <v>29</v>
      </c>
      <c r="BW58" s="113" t="s">
        <v>29</v>
      </c>
      <c r="BX58" s="113"/>
      <c r="BY58" s="113"/>
      <c r="BZ58" s="117"/>
      <c r="CA58" s="117"/>
      <c r="CB58" s="117"/>
      <c r="CC58" s="117"/>
      <c r="CD58" s="117"/>
      <c r="CE58" s="117"/>
      <c r="CF58" s="117"/>
      <c r="CG58" s="117"/>
      <c r="CH58" s="107">
        <f>SUM(BV58:CG58)</f>
        <v>0</v>
      </c>
      <c r="CI58" s="117"/>
      <c r="CJ58" s="117"/>
      <c r="CK58" s="11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>
        <f>SUM(CI58:CT58)</f>
        <v>0</v>
      </c>
      <c r="CV58" s="108"/>
      <c r="CW58" s="117"/>
      <c r="CX58" s="117"/>
      <c r="CY58" s="117"/>
      <c r="CZ58" s="117"/>
      <c r="DA58" s="123"/>
      <c r="DB58" s="123"/>
      <c r="DC58" s="123"/>
      <c r="DD58" s="123"/>
      <c r="DE58" s="123"/>
      <c r="DF58" s="123"/>
      <c r="DG58" s="123"/>
      <c r="DH58" s="108">
        <f>SUM(CV58:DG58)</f>
        <v>0</v>
      </c>
      <c r="DI58" s="108">
        <f>SUM(CU58:DE58)</f>
        <v>0</v>
      </c>
      <c r="DJ58" s="108"/>
      <c r="DK58" s="108"/>
      <c r="DL58" s="108">
        <f>SUM(DH58:DJ58)</f>
        <v>0</v>
      </c>
      <c r="DM58" s="108"/>
      <c r="DN58" s="108"/>
      <c r="DO58" s="108"/>
      <c r="DP58" s="108"/>
      <c r="DQ58" s="108"/>
      <c r="DR58" s="108"/>
      <c r="DS58" s="108"/>
      <c r="DT58" s="108"/>
      <c r="DU58" s="108">
        <f>SUM(DH58:DS58)</f>
        <v>0</v>
      </c>
      <c r="DV58" s="108">
        <v>0</v>
      </c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>
        <f t="shared" si="59"/>
        <v>0</v>
      </c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>
        <f t="shared" si="60"/>
        <v>0</v>
      </c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4"/>
      <c r="FR58" s="14"/>
      <c r="FS58" s="13"/>
      <c r="FT58" s="13"/>
      <c r="FU58" s="13"/>
      <c r="FV58" s="13"/>
      <c r="FW58" s="13"/>
      <c r="FX58" s="14"/>
    </row>
    <row r="59" spans="1:180" ht="15.75">
      <c r="A59" s="103" t="s">
        <v>62</v>
      </c>
      <c r="B59" s="41"/>
      <c r="C59" s="41"/>
      <c r="D59" s="41"/>
      <c r="E59" s="90">
        <v>688</v>
      </c>
      <c r="F59" s="90">
        <v>492</v>
      </c>
      <c r="G59" s="90">
        <v>1025</v>
      </c>
      <c r="H59" s="90">
        <v>890</v>
      </c>
      <c r="I59" s="90">
        <v>1009</v>
      </c>
      <c r="J59" s="90">
        <v>1095</v>
      </c>
      <c r="K59" s="90">
        <v>1424</v>
      </c>
      <c r="L59" s="90">
        <v>1175</v>
      </c>
      <c r="M59" s="90">
        <v>903</v>
      </c>
      <c r="N59" s="104">
        <v>506</v>
      </c>
      <c r="O59" s="105">
        <v>594</v>
      </c>
      <c r="P59" s="104">
        <v>1014</v>
      </c>
      <c r="Q59" s="105">
        <v>605</v>
      </c>
      <c r="R59" s="105">
        <v>1066.883</v>
      </c>
      <c r="S59" s="104">
        <v>102</v>
      </c>
      <c r="T59" s="104">
        <v>44</v>
      </c>
      <c r="U59" s="77">
        <v>18</v>
      </c>
      <c r="V59" s="77">
        <v>122</v>
      </c>
      <c r="W59" s="105">
        <v>160</v>
      </c>
      <c r="X59" s="105">
        <v>112</v>
      </c>
      <c r="Y59" s="106">
        <v>58</v>
      </c>
      <c r="Z59" s="105">
        <f>56+35</f>
        <v>91</v>
      </c>
      <c r="AA59" s="105">
        <v>75</v>
      </c>
      <c r="AB59" s="105">
        <v>105</v>
      </c>
      <c r="AC59" s="106">
        <f>58+16</f>
        <v>74</v>
      </c>
      <c r="AD59" s="105">
        <f>87.933+17.95</f>
        <v>105.88300000000001</v>
      </c>
      <c r="AE59" s="106">
        <f>SUM(S59:AD59)</f>
        <v>1066.883</v>
      </c>
      <c r="AF59" s="105">
        <v>1505.811</v>
      </c>
      <c r="AG59" s="105">
        <v>2097</v>
      </c>
      <c r="AH59" s="106">
        <v>1310</v>
      </c>
      <c r="AI59" s="106">
        <v>1064</v>
      </c>
      <c r="AJ59" s="106">
        <v>899</v>
      </c>
      <c r="AK59" s="106">
        <v>653</v>
      </c>
      <c r="AL59" s="106">
        <v>923.349</v>
      </c>
      <c r="AM59" s="106">
        <v>1869.6519999999998</v>
      </c>
      <c r="AN59" s="113">
        <v>404.9</v>
      </c>
      <c r="AO59" s="113">
        <v>57.75</v>
      </c>
      <c r="AP59" s="77">
        <v>131.75</v>
      </c>
      <c r="AQ59" s="113">
        <v>72.75</v>
      </c>
      <c r="AR59" s="113">
        <v>278.716</v>
      </c>
      <c r="AS59" s="77">
        <v>24.95</v>
      </c>
      <c r="AT59" s="113">
        <v>73.1</v>
      </c>
      <c r="AU59" s="113">
        <v>259.55</v>
      </c>
      <c r="AV59" s="77">
        <v>254.43</v>
      </c>
      <c r="AW59" s="77">
        <v>254.706</v>
      </c>
      <c r="AX59" s="77" t="s">
        <v>29</v>
      </c>
      <c r="AY59" s="113">
        <v>57.05</v>
      </c>
      <c r="AZ59" s="77">
        <f>SUM(AN59:AY59)</f>
        <v>1869.6519999999998</v>
      </c>
      <c r="BA59" s="77">
        <v>1249.31</v>
      </c>
      <c r="BB59" s="77">
        <v>740.827</v>
      </c>
      <c r="BC59" s="77">
        <v>944.5070000000001</v>
      </c>
      <c r="BD59" s="77">
        <v>403.279</v>
      </c>
      <c r="BE59" s="77">
        <v>428.51099999999997</v>
      </c>
      <c r="BF59" s="77">
        <v>454.30999999999995</v>
      </c>
      <c r="BG59" s="107">
        <v>70.618</v>
      </c>
      <c r="BH59" s="107">
        <v>121.979</v>
      </c>
      <c r="BI59" s="113">
        <v>175.35</v>
      </c>
      <c r="BJ59" s="117">
        <v>59.4</v>
      </c>
      <c r="BK59" s="77">
        <v>55.917</v>
      </c>
      <c r="BL59" s="113">
        <v>177.793</v>
      </c>
      <c r="BM59" s="113">
        <v>22.55</v>
      </c>
      <c r="BN59" s="77">
        <v>70.1</v>
      </c>
      <c r="BO59" s="113">
        <v>68.2</v>
      </c>
      <c r="BP59" s="113">
        <v>184.5</v>
      </c>
      <c r="BQ59" s="77">
        <v>120.95</v>
      </c>
      <c r="BR59" s="77">
        <v>69.55</v>
      </c>
      <c r="BS59" s="113">
        <v>98.7</v>
      </c>
      <c r="BT59" s="113">
        <v>146.3</v>
      </c>
      <c r="BU59" s="107">
        <f>SUM(BI59:BT59)</f>
        <v>1249.31</v>
      </c>
      <c r="BV59" s="105">
        <v>110.4</v>
      </c>
      <c r="BW59" s="105">
        <v>25.9</v>
      </c>
      <c r="BX59" s="106">
        <v>147.45</v>
      </c>
      <c r="BY59" s="107">
        <v>28</v>
      </c>
      <c r="BZ59" s="107">
        <v>4</v>
      </c>
      <c r="CA59" s="107">
        <v>46.35</v>
      </c>
      <c r="CB59" s="107">
        <v>43.5</v>
      </c>
      <c r="CC59" s="107">
        <v>60.05</v>
      </c>
      <c r="CD59" s="107">
        <v>59.35</v>
      </c>
      <c r="CE59" s="107">
        <v>48</v>
      </c>
      <c r="CF59" s="107">
        <v>93.946</v>
      </c>
      <c r="CG59" s="107">
        <v>73.881</v>
      </c>
      <c r="CH59" s="107">
        <f>SUM(BV59:CG59)</f>
        <v>740.827</v>
      </c>
      <c r="CI59" s="107">
        <v>169.095</v>
      </c>
      <c r="CJ59" s="107">
        <v>122.835</v>
      </c>
      <c r="CK59" s="107">
        <v>113.92</v>
      </c>
      <c r="CL59" s="107">
        <v>100.579</v>
      </c>
      <c r="CM59" s="107">
        <v>116.135</v>
      </c>
      <c r="CN59" s="107">
        <v>63.087</v>
      </c>
      <c r="CO59" s="107">
        <v>1.25</v>
      </c>
      <c r="CP59" s="107">
        <v>80.37</v>
      </c>
      <c r="CQ59" s="107">
        <v>22.533</v>
      </c>
      <c r="CR59" s="107">
        <v>76.04</v>
      </c>
      <c r="CS59" s="107">
        <v>29.513</v>
      </c>
      <c r="CT59" s="107">
        <v>49.15</v>
      </c>
      <c r="CU59" s="107">
        <f>SUM(CI59:CT59)</f>
        <v>944.5070000000001</v>
      </c>
      <c r="CV59" s="108">
        <v>34.043</v>
      </c>
      <c r="CW59" s="117">
        <v>5.725</v>
      </c>
      <c r="CX59" s="117">
        <v>101.759</v>
      </c>
      <c r="CY59" s="117">
        <v>55.08</v>
      </c>
      <c r="CZ59" s="117">
        <v>1.618</v>
      </c>
      <c r="DA59" s="123">
        <v>24.748</v>
      </c>
      <c r="DB59" s="123">
        <v>22.217</v>
      </c>
      <c r="DC59" s="123">
        <v>5.9</v>
      </c>
      <c r="DD59" s="123">
        <v>81.32</v>
      </c>
      <c r="DE59" s="123">
        <v>35.17</v>
      </c>
      <c r="DF59" s="123">
        <v>1.238</v>
      </c>
      <c r="DG59" s="123">
        <v>34.461</v>
      </c>
      <c r="DH59" s="108">
        <f>SUM(CV59:DG59)</f>
        <v>403.279</v>
      </c>
      <c r="DI59" s="108">
        <v>39.099</v>
      </c>
      <c r="DJ59" s="108">
        <v>5.072</v>
      </c>
      <c r="DK59" s="108">
        <v>28.093</v>
      </c>
      <c r="DL59" s="108">
        <v>39.02</v>
      </c>
      <c r="DM59" s="108">
        <v>24.5</v>
      </c>
      <c r="DN59" s="108">
        <v>36.65</v>
      </c>
      <c r="DO59" s="108">
        <v>5.262</v>
      </c>
      <c r="DP59" s="111" t="s">
        <v>29</v>
      </c>
      <c r="DQ59" s="108">
        <v>49.25</v>
      </c>
      <c r="DR59" s="108">
        <v>28.98</v>
      </c>
      <c r="DS59" s="108">
        <f>78.225</f>
        <v>78.225</v>
      </c>
      <c r="DT59" s="108">
        <v>94.36</v>
      </c>
      <c r="DU59" s="108">
        <f>SUM(DI59:DT59)</f>
        <v>428.51099999999997</v>
      </c>
      <c r="DV59" s="108">
        <v>102.23</v>
      </c>
      <c r="DW59" s="108">
        <v>44.453</v>
      </c>
      <c r="DX59" s="108">
        <v>28.267</v>
      </c>
      <c r="DY59" s="108">
        <v>56.628</v>
      </c>
      <c r="DZ59" s="108">
        <v>8.089</v>
      </c>
      <c r="EA59" s="108">
        <v>33.88</v>
      </c>
      <c r="EB59" s="108">
        <v>67.13499999999999</v>
      </c>
      <c r="EC59" s="108">
        <v>6.076</v>
      </c>
      <c r="ED59" s="108">
        <v>37.553</v>
      </c>
      <c r="EE59" s="108">
        <v>4.167</v>
      </c>
      <c r="EF59" s="108">
        <v>36.392</v>
      </c>
      <c r="EG59" s="108">
        <v>29.44</v>
      </c>
      <c r="EH59" s="108">
        <f>SUM(DV59:EG59)</f>
        <v>454.30999999999995</v>
      </c>
      <c r="EI59" s="108">
        <v>2.264</v>
      </c>
      <c r="EJ59" s="108">
        <v>4.834</v>
      </c>
      <c r="EK59" s="108">
        <v>31.855</v>
      </c>
      <c r="EL59" s="108">
        <v>13.68</v>
      </c>
      <c r="EM59" s="220">
        <v>0</v>
      </c>
      <c r="EN59" s="248">
        <v>2.1</v>
      </c>
      <c r="EO59" s="108">
        <v>0.9</v>
      </c>
      <c r="EP59" s="108">
        <v>0.26</v>
      </c>
      <c r="EQ59" s="108">
        <v>1.149</v>
      </c>
      <c r="ER59" s="108">
        <v>2.626</v>
      </c>
      <c r="ES59" s="108">
        <v>10.1</v>
      </c>
      <c r="ET59" s="108">
        <v>0.85</v>
      </c>
      <c r="EU59" s="108">
        <f>SUM(EI59:ET59)</f>
        <v>70.618</v>
      </c>
      <c r="EV59" s="108">
        <v>4.78</v>
      </c>
      <c r="EW59" s="108">
        <v>4.08</v>
      </c>
      <c r="EX59" s="108">
        <v>3.633</v>
      </c>
      <c r="EY59" s="108">
        <v>14.98</v>
      </c>
      <c r="EZ59" s="108">
        <v>9.62</v>
      </c>
      <c r="FA59" s="108">
        <v>10.66</v>
      </c>
      <c r="FB59" s="108">
        <v>5.946</v>
      </c>
      <c r="FC59" s="108">
        <v>8.397</v>
      </c>
      <c r="FD59" s="108">
        <v>17.012</v>
      </c>
      <c r="FE59" s="108">
        <v>7.35</v>
      </c>
      <c r="FF59" s="108">
        <v>22.238</v>
      </c>
      <c r="FG59" s="108">
        <v>13.283</v>
      </c>
      <c r="FH59" s="108">
        <f>SUM(EV59:FB59)</f>
        <v>53.699</v>
      </c>
      <c r="FI59" s="108">
        <v>20.947</v>
      </c>
      <c r="FJ59" s="108">
        <v>3.345</v>
      </c>
      <c r="FK59" s="108">
        <v>10.03</v>
      </c>
      <c r="FL59" s="108">
        <v>31.859</v>
      </c>
      <c r="FM59" s="108">
        <v>3.588</v>
      </c>
      <c r="FN59" s="108">
        <v>3.239</v>
      </c>
      <c r="FO59" s="108">
        <v>23.9</v>
      </c>
      <c r="FP59" s="108">
        <f>SUM(FI59:FO59)</f>
        <v>96.90799999999999</v>
      </c>
      <c r="FQ59" s="13"/>
      <c r="FR59" s="13"/>
      <c r="FS59" s="14"/>
      <c r="FT59" s="14"/>
      <c r="FU59" s="14"/>
      <c r="FV59" s="14"/>
      <c r="FW59" s="14"/>
      <c r="FX59" s="14"/>
    </row>
    <row r="60" spans="1:180" ht="15.75">
      <c r="A60" s="103" t="s">
        <v>35</v>
      </c>
      <c r="B60" s="41"/>
      <c r="C60" s="41"/>
      <c r="D60" s="41"/>
      <c r="E60" s="90">
        <v>4452</v>
      </c>
      <c r="F60" s="90">
        <v>6017</v>
      </c>
      <c r="G60" s="90">
        <v>7691</v>
      </c>
      <c r="H60" s="90">
        <v>5320</v>
      </c>
      <c r="I60" s="90">
        <v>6197</v>
      </c>
      <c r="J60" s="90">
        <v>8414</v>
      </c>
      <c r="K60" s="90">
        <v>10442</v>
      </c>
      <c r="L60" s="90">
        <v>8331</v>
      </c>
      <c r="M60" s="90">
        <v>14206</v>
      </c>
      <c r="N60" s="104">
        <v>6717</v>
      </c>
      <c r="O60" s="105">
        <v>7535</v>
      </c>
      <c r="P60" s="104">
        <v>15586</v>
      </c>
      <c r="Q60" s="105">
        <v>19757</v>
      </c>
      <c r="R60" s="105">
        <v>22819.785</v>
      </c>
      <c r="S60" s="104">
        <v>1372</v>
      </c>
      <c r="T60" s="104">
        <f>356+12+29+548+494</f>
        <v>1439</v>
      </c>
      <c r="U60" s="113">
        <v>1833</v>
      </c>
      <c r="V60" s="77">
        <f>44+28+594+357+27</f>
        <v>1050</v>
      </c>
      <c r="W60" s="105">
        <v>2073</v>
      </c>
      <c r="X60" s="105">
        <f>323+28+1206+576+10+150</f>
        <v>2293</v>
      </c>
      <c r="Y60" s="106">
        <f>182+1196+745+30+25</f>
        <v>2178</v>
      </c>
      <c r="Z60" s="105">
        <f>117+3+987+664</f>
        <v>1771</v>
      </c>
      <c r="AA60" s="105">
        <v>2432</v>
      </c>
      <c r="AB60" s="105">
        <f>1642+188</f>
        <v>1830</v>
      </c>
      <c r="AC60" s="106">
        <f>16+30+26+18+1255+527+779+58</f>
        <v>2709</v>
      </c>
      <c r="AD60" s="105">
        <f>598.004+30+564.005+16.16+563.018+68.598</f>
        <v>1839.785</v>
      </c>
      <c r="AE60" s="106">
        <f>SUM(S60:AD60)</f>
        <v>22819.785</v>
      </c>
      <c r="AF60" s="105">
        <v>23700.932999999997</v>
      </c>
      <c r="AG60" s="105">
        <v>21981</v>
      </c>
      <c r="AH60" s="106">
        <v>20219</v>
      </c>
      <c r="AI60" s="106">
        <v>24139</v>
      </c>
      <c r="AJ60" s="106">
        <v>29575</v>
      </c>
      <c r="AK60" s="106">
        <v>33057</v>
      </c>
      <c r="AL60" s="106">
        <v>33151.477</v>
      </c>
      <c r="AM60" s="106">
        <v>29160.75</v>
      </c>
      <c r="AN60" s="113">
        <f>1400.681+8.09+67+77.445+12.15</f>
        <v>1565.366</v>
      </c>
      <c r="AO60" s="77">
        <v>2303.967</v>
      </c>
      <c r="AP60" s="77">
        <v>2826.718999999999</v>
      </c>
      <c r="AQ60" s="137">
        <v>2902.717</v>
      </c>
      <c r="AR60" s="113">
        <v>2770.637</v>
      </c>
      <c r="AS60" s="77">
        <v>3397.97</v>
      </c>
      <c r="AT60" s="77">
        <v>2520.18</v>
      </c>
      <c r="AU60" s="77">
        <v>2315.598</v>
      </c>
      <c r="AV60" s="77">
        <v>2730.2839999999997</v>
      </c>
      <c r="AW60" s="77">
        <v>1936.499</v>
      </c>
      <c r="AX60" s="77">
        <v>1681.17</v>
      </c>
      <c r="AY60" s="77">
        <v>1759.743</v>
      </c>
      <c r="AZ60" s="77">
        <f>SUM(AN60:AY60)</f>
        <v>28710.850000000002</v>
      </c>
      <c r="BA60" s="77">
        <v>34220.871</v>
      </c>
      <c r="BB60" s="77">
        <v>39555.804</v>
      </c>
      <c r="BC60" s="77">
        <v>50524.896</v>
      </c>
      <c r="BD60" s="77">
        <v>40870.511999999995</v>
      </c>
      <c r="BE60" s="77">
        <v>42189.379</v>
      </c>
      <c r="BF60" s="77">
        <v>47910.70300000001</v>
      </c>
      <c r="BG60" s="107">
        <v>27496.657</v>
      </c>
      <c r="BH60" s="107">
        <v>37243.71299999999</v>
      </c>
      <c r="BI60" s="113">
        <f>1957.016+31.35+193.496+88.57+2.542</f>
        <v>2272.974</v>
      </c>
      <c r="BJ60" s="107">
        <f>2397.986+123.65+91.819+104.21+298.68+8.788</f>
        <v>3025.133</v>
      </c>
      <c r="BK60" s="77">
        <f>2387.137+100.85+196.004+132.979+42.35+22.788</f>
        <v>2882.1079999999997</v>
      </c>
      <c r="BL60" s="137">
        <f>2218.741+81.6+15.6+21+19.405</f>
        <v>2356.346</v>
      </c>
      <c r="BM60" s="113">
        <f>2647.393+130.1+23.28+63.8+25+7.97</f>
        <v>2897.543</v>
      </c>
      <c r="BN60" s="77">
        <f>60+3052.351+190.35+11.3+93.7+43.957+6.88</f>
        <v>3458.538</v>
      </c>
      <c r="BO60" s="77">
        <f>100+2425.289+197.28+43.85+20.55+41.7+74.575+23</f>
        <v>2926.244</v>
      </c>
      <c r="BP60" s="77">
        <f>2659.439+21+51.635+61.7+43+159.018+10.15</f>
        <v>3005.942</v>
      </c>
      <c r="BQ60" s="77">
        <f>2654.696+81.323+38.025+42.27+148.233+42.729+288.65</f>
        <v>3295.926</v>
      </c>
      <c r="BR60" s="77">
        <f>2093.697+23.4+88.15+75.06+55.2</f>
        <v>2335.507</v>
      </c>
      <c r="BS60" s="77">
        <f>46.218+1939.777+56.194+48.75+22.75</f>
        <v>2113.6890000000003</v>
      </c>
      <c r="BT60" s="113">
        <f>161.4+18.83+31.13+40.15+3195.118+204.293</f>
        <v>3650.9210000000003</v>
      </c>
      <c r="BU60" s="107">
        <f>SUM(BI60:BT60)</f>
        <v>34220.871</v>
      </c>
      <c r="BV60" s="105">
        <v>1830.356</v>
      </c>
      <c r="BW60" s="105">
        <f>2306.75+74.8+38.33+16.98+24.22+7.31</f>
        <v>2468.39</v>
      </c>
      <c r="BX60" s="106">
        <f>2151+45.8+17.2+74.2</f>
        <v>2288.2</v>
      </c>
      <c r="BY60" s="107">
        <f>2117.045+25.72+11.2+43.05+19.66</f>
        <v>2216.6749999999997</v>
      </c>
      <c r="BZ60" s="107">
        <f>15.9+16.095+16.105+79.35+3162.57+357.4+10.25</f>
        <v>3657.67</v>
      </c>
      <c r="CA60" s="107">
        <f>8.779+60.758+6+3232.667</f>
        <v>3308.2039999999997</v>
      </c>
      <c r="CB60" s="107">
        <f>1709.991+9+84.744+56.76+16.3</f>
        <v>1876.7949999999998</v>
      </c>
      <c r="CC60" s="107">
        <f>2576.757+4.554+8.1+40.45</f>
        <v>2629.861</v>
      </c>
      <c r="CD60" s="77">
        <v>3097.5889999999995</v>
      </c>
      <c r="CE60" s="107">
        <v>5829.075</v>
      </c>
      <c r="CF60" s="107">
        <v>4516.7959999999985</v>
      </c>
      <c r="CG60" s="107">
        <f>92.411+4820.923+5.251+124.58+324.802+37.726+430.5</f>
        <v>5836.192999999999</v>
      </c>
      <c r="CH60" s="107">
        <f>SUM(BV60:CG60)</f>
        <v>39555.804</v>
      </c>
      <c r="CI60" s="107">
        <f>77.972+4141.435+24.463+106.65+240.313+173.825</f>
        <v>4764.657999999999</v>
      </c>
      <c r="CJ60" s="107">
        <f>130+94.046+65.2+3841.479+51.45+21.865+12.165+7+2.565</f>
        <v>4225.769999999999</v>
      </c>
      <c r="CK60" s="107">
        <f>88.401+380.875+4116.854+14.597+0.7+49.075+125.68+2.476</f>
        <v>4778.657999999999</v>
      </c>
      <c r="CL60" s="138">
        <f>104.077+126.54+0.451+91.202+1.472+2.14+9.307+53.593+12+4011.898</f>
        <v>4412.68</v>
      </c>
      <c r="CM60" s="138">
        <f>146.699+152.35+2559.245+16.551+55.502+23.47+23.938+27.05</f>
        <v>3004.805</v>
      </c>
      <c r="CN60" s="138">
        <f>128.603+63.06+4565.526+80.127+9.73+0.45+14.793+5.2</f>
        <v>4867.489</v>
      </c>
      <c r="CO60" s="138">
        <f>134.775+16.562+2877.5+3311.3+17+48.72+0.165+6.4+24.052+21.336</f>
        <v>6457.81</v>
      </c>
      <c r="CP60" s="138">
        <f>68+249.71+1.05+4591.644+15.536+0.87+14.79+5.11+21.785+5</f>
        <v>4973.495</v>
      </c>
      <c r="CQ60" s="138">
        <f>171.742+50.27+3909.614+18.747+6.15+13.67+7.41+19.9</f>
        <v>4197.503</v>
      </c>
      <c r="CR60" s="138">
        <f>158.314+3.94+2504.411+7.911+0.25+17.969+23.115+36.363+24.15</f>
        <v>2776.423</v>
      </c>
      <c r="CS60" s="138">
        <f>60+94.099+40+2546.944+6.667+5.385+5.045+10.545+10.55</f>
        <v>2779.2350000000006</v>
      </c>
      <c r="CT60" s="107">
        <f>3060.098+120.741+3.68+31.308+0.025+18.374+0.235+36.709+15.2</f>
        <v>3286.3699999999994</v>
      </c>
      <c r="CU60" s="107">
        <f>SUM(CI60:CT60)</f>
        <v>50524.896</v>
      </c>
      <c r="CV60" s="108">
        <f>3010.466+127.416+26.568+13.655+43.775+10.1</f>
        <v>3231.9800000000005</v>
      </c>
      <c r="CW60" s="117">
        <f>70.551+2.71+3057.765+21.814+0.33+71.595+38.862</f>
        <v>3263.6269999999995</v>
      </c>
      <c r="CX60" s="117">
        <f>99.466+5.025+3508.708+22.563+11.659+3.293+15.76</f>
        <v>3666.4740000000006</v>
      </c>
      <c r="CY60" s="117">
        <f>106.279+2727.56+16.373+27.4+334.45+15.712+50</f>
        <v>3277.774</v>
      </c>
      <c r="CZ60" s="117">
        <f>78.112+35+2455.1+6.605+21.79+137.9+20.344+840</f>
        <v>3594.851</v>
      </c>
      <c r="DA60" s="123">
        <f>1440+70.757+0.1+3473.012+6.89+0.38+59.7+6.9</f>
        <v>5057.7390000000005</v>
      </c>
      <c r="DB60" s="123">
        <f>360+62.986+0.12+2867.711+15.002+15.446+56.415+2.175+9.4</f>
        <v>3389.255</v>
      </c>
      <c r="DC60" s="123">
        <f>108.507+1+4790.466+3.155+1+15.83+21.675+23.15</f>
        <v>4964.782999999999</v>
      </c>
      <c r="DD60" s="123">
        <f>77.791+50+2272.516+112.303+17.84+4.8+11.475+31.75+28.165+40</f>
        <v>2646.6400000000003</v>
      </c>
      <c r="DE60" s="123">
        <f>53.757+5.18+42.69+4.35+14.93+57.6+0.7+2591.539</f>
        <v>2770.746</v>
      </c>
      <c r="DF60" s="123">
        <f>56.591+2431.54+18.15+6.045+19.11+36.48+31.801</f>
        <v>2599.717</v>
      </c>
      <c r="DG60" s="123">
        <f>89.257+2280.696+1.053+1.7+16.212+5.68+12.328</f>
        <v>2406.9259999999995</v>
      </c>
      <c r="DH60" s="108">
        <f>SUM(CV60:DG60)</f>
        <v>40870.511999999995</v>
      </c>
      <c r="DI60" s="108">
        <f>105.594+2431.219+33.09+3.27+25.759+4.75+29.395+29.1</f>
        <v>2662.177</v>
      </c>
      <c r="DJ60" s="108">
        <f>52.37+2221.442+31.718+6.2+5.45+0.625+13.783+630+25</f>
        <v>2986.5879999999993</v>
      </c>
      <c r="DK60" s="108">
        <f>79.564+5.6+2237.13+1.653+6.181+5.98+34.802+6.559</f>
        <v>2377.469</v>
      </c>
      <c r="DL60" s="108">
        <f>5.5+36.387+2661.257+5.204+24.998+3.1+36.596</f>
        <v>2773.0420000000004</v>
      </c>
      <c r="DM60" s="108">
        <v>3439.0339999999997</v>
      </c>
      <c r="DN60" s="108">
        <f>72.878+3184.24+26.471+43.762+5.275+6.4+211+10</f>
        <v>3560.0260000000003</v>
      </c>
      <c r="DO60" s="108">
        <f>5.1+92.86+124.5+3261.865+17.256+0.65+1.986+18.205</f>
        <v>3522.4219999999996</v>
      </c>
      <c r="DP60" s="108">
        <f>7.05+69.14+55.5+2766.577+60+4378.75+3.084+0.85+6.998+31.084+69.541+28.367</f>
        <v>7476.941</v>
      </c>
      <c r="DQ60" s="108">
        <f>6.35+91.775+3210.677+28.8+2.181+3.53+299.775</f>
        <v>3643.0880000000006</v>
      </c>
      <c r="DR60" s="108">
        <f>6.4+57.73+3049.363+2.626+35.35+32.63+2.59+5.76+16.8</f>
        <v>3209.2490000000007</v>
      </c>
      <c r="DS60" s="108">
        <f>62.05+2845.529+1+1.015+10.532+10.1</f>
        <v>2930.226</v>
      </c>
      <c r="DT60" s="108">
        <v>3609.117</v>
      </c>
      <c r="DU60" s="108">
        <f>SUM(DI60:DT60)</f>
        <v>42189.379</v>
      </c>
      <c r="DV60" s="108">
        <v>3614.811</v>
      </c>
      <c r="DW60" s="108">
        <f>65.959+2513.676+13.115+0.515+7.954+139.475+16.495</f>
        <v>2757.1889999999994</v>
      </c>
      <c r="DX60" s="108">
        <f>80.85+11.65+34.753+3729.827+1.983+5.25+3.499+33.3+26.914+1.716</f>
        <v>3929.7420000000006</v>
      </c>
      <c r="DY60" s="108">
        <f>204.53+69.418+2645.791+3.658+8.783+13.615+41.18+27.25+15.102</f>
        <v>3029.3269999999993</v>
      </c>
      <c r="DZ60" s="108">
        <f>351.1+11.5+66.425+1.25+2458.241+137.95+4+15.38+2.294+37.555+30.815</f>
        <v>3116.5099999999998</v>
      </c>
      <c r="EA60" s="108">
        <f>123.11+11.95+80.317+1.1+3708.934+17.385+34.61+16.87+19.032</f>
        <v>4013.3080000000004</v>
      </c>
      <c r="EB60" s="108">
        <f>170.03+23.3+59.228+9.95+3027.85+1.1+16.44+1.85+2.617+4.862+0.2+39.198</f>
        <v>3356.625</v>
      </c>
      <c r="EC60" s="108">
        <f>49.48+19.87+0.376+192.649+11.625+2867.082+1516.75+5.209+27.893+4.135+72.57+40.675+360</f>
        <v>5168.314</v>
      </c>
      <c r="ED60" s="108">
        <f>51.58+21.109+0.606+123.784+0.5+608.09+2888.722+11.95+1170+27.63+32.642+1.3+12.325+35.255+41.691+70+1</f>
        <v>5098.184</v>
      </c>
      <c r="EE60" s="108">
        <f>234.25+89.35+1.3+92.571+5.25+168.52+3029.887+3.15+882.25+49.25+0.275+36.372+4.931+17.885+26.604+69.5</f>
        <v>4711.345</v>
      </c>
      <c r="EF60" s="108">
        <f>139.1+25.234+117.296+0.75+20.55+2118.812+378.5+0.7+1134.119+35.461+35.461+34.134+2.115+74.821+15.78+8.351</f>
        <v>4141.183999999998</v>
      </c>
      <c r="EG60" s="108">
        <f>270+75.99+138.716+14.182+43.55+2477.211+249.55+17+1616.9+2.818+21.358+9.268+4.266+10.895+22.46</f>
        <v>4974.164000000001</v>
      </c>
      <c r="EH60" s="108">
        <f>SUM(DV60:EG60)</f>
        <v>47910.70300000001</v>
      </c>
      <c r="EI60" s="108">
        <f>39+25.75+89.482+11.571+207+1963.387+65.74+1.2+383.65+128.2+1.176+25.97+0.45+9.313+4.035+32.5+1.71</f>
        <v>2990.133999999999</v>
      </c>
      <c r="EJ60" s="108">
        <f>37.336+45.705+12.55+388.401+2270.423+0.5+391.58+399.7+1.721+202.1+52.57+15.243+8.8+24.125+2.434+7.4+13.133</f>
        <v>3873.721</v>
      </c>
      <c r="EK60" s="108">
        <f>10.436+44.07+13.5+244.95+2121.377+681.8+30.082+58.9+4.042+11.247+18.713+4.766+37.598+28.602</f>
        <v>3310.0829999999996</v>
      </c>
      <c r="EL60" s="108">
        <v>1860.778</v>
      </c>
      <c r="EM60" s="108">
        <f>47.952+16.22+2.76+169.25+711.956+76.05+1.937+10.07+0.54+19.825+45.375</f>
        <v>1101.935</v>
      </c>
      <c r="EN60" s="108">
        <f>18.2+16.935+10+189.95+1477.039+60.95+32.588+35.3+11.201+0.53+33.259+13.449</f>
        <v>1899.401</v>
      </c>
      <c r="EO60" s="108">
        <f>11.85+81.434+10.325+124.15+867.297+122.1+64.176+7.6+7.809+10.649+16.3+1.134+33.83+39.482</f>
        <v>1398.1359999999995</v>
      </c>
      <c r="EP60" s="108">
        <f>12.65+35.398+9.21+8.6+1050.503+80.85+67.184+26.29+26.29+23.065+1.03+1.712+13.258+35.321</f>
        <v>1391.3609999999996</v>
      </c>
      <c r="EQ60" s="108">
        <f>3.144+36.522+38.65+1239.116+246.15+33.592+11.8+1270+13.64+3.876+31.3+7.196+3.488+25.522+2.023</f>
        <v>2966.0190000000002</v>
      </c>
      <c r="ER60" s="108">
        <f>0.978+18.213+2.5+271.3+1165.241+0.06+21+2.32+25.777+2.462+1.834+14.2+17.649</f>
        <v>1543.534</v>
      </c>
      <c r="ES60" s="108">
        <f>0.06+13.122+14.855+81.85+976.006+14.3+1372.15+23.25+3.887+22.321+12.92+0.545+29.125+5.949</f>
        <v>2570.34</v>
      </c>
      <c r="ET60" s="108">
        <f>10.316+44.523+15+339.6+1619.809+316.15+0.41+181.4+7.35+1.095+11.136+5.47+2.04+11.405+25.511</f>
        <v>2591.2149999999997</v>
      </c>
      <c r="EU60" s="108">
        <f>SUM(EI60:ET60)</f>
        <v>27496.657</v>
      </c>
      <c r="EV60" s="108">
        <v>2199.9249999999997</v>
      </c>
      <c r="EW60" s="108">
        <f>28.421+20.544+12.595+10+149.25+936.714+48+6.08+105.75+1.35+3.505+6.305+0.2+0.108+18.571+23.11+281.15</f>
        <v>1651.6529999999998</v>
      </c>
      <c r="EX60" s="108">
        <f>8.04+13.806+10+1444.968+2.117+7.014+4.9+3.631+12.639+44.053+13.4+258.51</f>
        <v>1823.0780000000002</v>
      </c>
      <c r="EY60" s="108">
        <f>0.36+9.182+7.55+150.7+1093.311+120+28.25+100+44+37.645+44.128+1.875+11.127+16.735</f>
        <v>1664.8629999999996</v>
      </c>
      <c r="EZ60" s="108">
        <f>11.936+14.167+13.12+1324.706+4.936+8.585+3.248+1.648+14.019+18.645</f>
        <v>1415.0099999999998</v>
      </c>
      <c r="FA60" s="108">
        <f>6+8.426+17.475+79+1397.563+27.002+12.455+2.215+3.3+11.35</f>
        <v>1564.7859999999998</v>
      </c>
      <c r="FB60" s="108">
        <f>0.77+10.067+21.4+192.25+4062.085+60+0.975+7.014+6.65+1.008+12.422+15.82</f>
        <v>4390.460999999999</v>
      </c>
      <c r="FC60" s="108">
        <f>49.8+12.339+4.85+1650+110.32+1198.662+113.85+28.5+1.28+3.425+1.43+15.635+6.4+280</f>
        <v>3476.4910000000004</v>
      </c>
      <c r="FD60" s="108">
        <f>185.79+9.594+12.775+3600+265.7+705.868+93.995+393.95+2+8.101+10.955+3.095+2.53+17.642</f>
        <v>5311.994999999999</v>
      </c>
      <c r="FE60" s="108">
        <f>79.5+0.1+1.323+1.95+3500+57.7+936.751+1.2+187.15+2.28+0.5+7.768+5.715+1.008+7.601+29.062+33</f>
        <v>4852.607999999998</v>
      </c>
      <c r="FF60" s="108">
        <f>2.01+21.775+2690.68+140.009+649.143+67+17.79+11.548+1.5+2.514+35.504</f>
        <v>3639.4729999999995</v>
      </c>
      <c r="FG60" s="108">
        <f>4.054+21.8+3800+19.9+1163.976+199.65+18.043+0.21+4.08+2.05+0.87+2.068+1.37+15.299</f>
        <v>5253.369999999999</v>
      </c>
      <c r="FH60" s="108">
        <f>SUM(EV60:FB60)</f>
        <v>14709.775999999998</v>
      </c>
      <c r="FI60" s="108">
        <f>5.985+3100+87+682.105+76.5+3.823+1+0.5+3.31+6.05+1.53+1.16+9.801</f>
        <v>3978.764</v>
      </c>
      <c r="FJ60" s="108">
        <f>2.215+0.7+4373.61+33.95+724.938+6+0.55+19.3+1.6+0.99+15.685+3.765</f>
        <v>5183.303000000001</v>
      </c>
      <c r="FK60" s="108">
        <f>0.965+0.26+2900+830.454+83.74+0.025+21.327+12.435+2.035+17.194+46.71+0.6</f>
        <v>3915.745</v>
      </c>
      <c r="FL60" s="108">
        <v>6978.199</v>
      </c>
      <c r="FM60" s="108">
        <f>0.138+1.185+0.5+3040+37.65+959.112+6.186+5.23+3.3+1.68+11.84+53.467</f>
        <v>4120.2880000000005</v>
      </c>
      <c r="FN60" s="108">
        <f>6.05+2900+49.35+1.04+208+0.2+15.695+4.55+3.069+24.291</f>
        <v>3212.2450000000003</v>
      </c>
      <c r="FO60" s="108">
        <f>0.3+10.625+6500+57.25+632.652+500+60+624.111+0.1+5.094+1.89+6.322+7.75</f>
        <v>8406.094</v>
      </c>
      <c r="FP60" s="108">
        <f>SUM(FI60:FO60)</f>
        <v>35794.638</v>
      </c>
      <c r="FQ60" s="13"/>
      <c r="FR60" s="13"/>
      <c r="FS60" s="13"/>
      <c r="FT60" s="13"/>
      <c r="FU60" s="13"/>
      <c r="FV60" s="13"/>
      <c r="FW60" s="13"/>
      <c r="FX60" s="14"/>
    </row>
    <row r="61" spans="1:180" ht="15.75">
      <c r="A61" s="98"/>
      <c r="B61" s="41"/>
      <c r="C61" s="41"/>
      <c r="D61" s="41"/>
      <c r="E61" s="51"/>
      <c r="F61" s="51"/>
      <c r="G61" s="51"/>
      <c r="H61" s="51"/>
      <c r="I61" s="51"/>
      <c r="J61" s="51"/>
      <c r="K61" s="51"/>
      <c r="L61" s="51"/>
      <c r="M61" s="51"/>
      <c r="N61" s="139"/>
      <c r="O61" s="140"/>
      <c r="P61" s="139"/>
      <c r="Q61" s="140"/>
      <c r="R61" s="140"/>
      <c r="S61" s="139"/>
      <c r="T61" s="139"/>
      <c r="U61" s="140"/>
      <c r="V61" s="140"/>
      <c r="W61" s="140"/>
      <c r="X61" s="140"/>
      <c r="Y61" s="141"/>
      <c r="Z61" s="140"/>
      <c r="AA61" s="140"/>
      <c r="AB61" s="140"/>
      <c r="AC61" s="141"/>
      <c r="AD61" s="140"/>
      <c r="AE61" s="142"/>
      <c r="AF61" s="143"/>
      <c r="AG61" s="143"/>
      <c r="AH61" s="142"/>
      <c r="AI61" s="142"/>
      <c r="AJ61" s="142"/>
      <c r="AK61" s="142"/>
      <c r="AL61" s="142"/>
      <c r="AM61" s="142"/>
      <c r="AN61" s="117"/>
      <c r="AO61" s="141"/>
      <c r="AP61" s="140"/>
      <c r="AQ61" s="140"/>
      <c r="AR61" s="144"/>
      <c r="AS61" s="140"/>
      <c r="AT61" s="140"/>
      <c r="AU61" s="141"/>
      <c r="AV61" s="145"/>
      <c r="AW61" s="140"/>
      <c r="AX61" s="145"/>
      <c r="AY61" s="143"/>
      <c r="AZ61" s="146"/>
      <c r="BA61" s="146"/>
      <c r="BB61" s="146"/>
      <c r="BC61" s="146"/>
      <c r="BD61" s="146"/>
      <c r="BE61" s="146"/>
      <c r="BF61" s="146"/>
      <c r="BG61" s="146"/>
      <c r="BH61" s="146"/>
      <c r="BI61" s="144"/>
      <c r="BJ61" s="141"/>
      <c r="BK61" s="140"/>
      <c r="BL61" s="147"/>
      <c r="BM61" s="117"/>
      <c r="BN61" s="145"/>
      <c r="BO61" s="145"/>
      <c r="BP61" s="145"/>
      <c r="BQ61" s="145"/>
      <c r="BR61" s="145"/>
      <c r="BS61" s="145"/>
      <c r="BT61" s="105"/>
      <c r="BU61" s="107"/>
      <c r="BV61" s="145"/>
      <c r="BW61" s="145"/>
      <c r="BX61" s="140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9"/>
      <c r="CV61" s="150"/>
      <c r="CW61" s="149"/>
      <c r="CX61" s="107"/>
      <c r="CY61" s="107"/>
      <c r="CZ61" s="107"/>
      <c r="DA61" s="112"/>
      <c r="DB61" s="112"/>
      <c r="DC61" s="112"/>
      <c r="DD61" s="112"/>
      <c r="DE61" s="112"/>
      <c r="DF61" s="112"/>
      <c r="DG61" s="112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71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9"/>
      <c r="FR61" s="19"/>
      <c r="FS61" s="13"/>
      <c r="FT61" s="13"/>
      <c r="FU61" s="23"/>
      <c r="FV61" s="13"/>
      <c r="FW61" s="13"/>
      <c r="FX61" s="14"/>
    </row>
    <row r="62" spans="1:180" ht="15.75">
      <c r="A62" s="57"/>
      <c r="B62" s="41"/>
      <c r="C62" s="41"/>
      <c r="D62" s="41"/>
      <c r="E62" s="101"/>
      <c r="F62" s="101"/>
      <c r="G62" s="101"/>
      <c r="H62" s="101"/>
      <c r="I62" s="101"/>
      <c r="J62" s="101"/>
      <c r="K62" s="101"/>
      <c r="L62" s="101"/>
      <c r="M62" s="101"/>
      <c r="N62" s="151"/>
      <c r="O62" s="152"/>
      <c r="P62" s="151"/>
      <c r="Q62" s="153"/>
      <c r="R62" s="152"/>
      <c r="S62" s="154"/>
      <c r="T62" s="155">
        <f>SUM(T12,T22,T28,T35,T42,T50,T48)</f>
        <v>14381</v>
      </c>
      <c r="U62" s="153"/>
      <c r="V62" s="153"/>
      <c r="W62" s="153"/>
      <c r="X62" s="152"/>
      <c r="Y62" s="156"/>
      <c r="Z62" s="152"/>
      <c r="AA62" s="152"/>
      <c r="AB62" s="152"/>
      <c r="AC62" s="156"/>
      <c r="AD62" s="152"/>
      <c r="AE62" s="106"/>
      <c r="AF62" s="105"/>
      <c r="AG62" s="105"/>
      <c r="AH62" s="106"/>
      <c r="AI62" s="106"/>
      <c r="AJ62" s="106"/>
      <c r="AK62" s="106"/>
      <c r="AL62" s="106"/>
      <c r="AM62" s="106"/>
      <c r="AN62" s="156"/>
      <c r="AO62" s="157"/>
      <c r="AP62" s="153"/>
      <c r="AQ62" s="153"/>
      <c r="AR62" s="113"/>
      <c r="AS62" s="152"/>
      <c r="AT62" s="152"/>
      <c r="AU62" s="156"/>
      <c r="AV62" s="152"/>
      <c r="AW62" s="152"/>
      <c r="AX62" s="156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52"/>
      <c r="BJ62" s="108"/>
      <c r="BK62" s="158"/>
      <c r="BL62" s="158"/>
      <c r="BM62" s="159"/>
      <c r="BN62" s="152"/>
      <c r="BO62" s="152"/>
      <c r="BP62" s="152"/>
      <c r="BQ62" s="152"/>
      <c r="BR62" s="152"/>
      <c r="BS62" s="152"/>
      <c r="BT62" s="160"/>
      <c r="BU62" s="161"/>
      <c r="BV62" s="152"/>
      <c r="BW62" s="152"/>
      <c r="BX62" s="162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8"/>
      <c r="CW62" s="107"/>
      <c r="CX62" s="161"/>
      <c r="CY62" s="161"/>
      <c r="CZ62" s="161"/>
      <c r="DA62" s="163"/>
      <c r="DB62" s="163"/>
      <c r="DC62" s="163"/>
      <c r="DD62" s="163"/>
      <c r="DE62" s="163"/>
      <c r="DF62" s="163"/>
      <c r="DG62" s="16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08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8"/>
      <c r="FR62" s="18"/>
      <c r="FS62" s="19"/>
      <c r="FT62" s="19"/>
      <c r="FU62" s="19"/>
      <c r="FV62" s="19"/>
      <c r="FW62" s="12"/>
      <c r="FX62" s="14"/>
    </row>
    <row r="63" spans="1:180" ht="15.75">
      <c r="A63" s="320" t="s">
        <v>63</v>
      </c>
      <c r="B63" s="41"/>
      <c r="C63" s="41"/>
      <c r="D63" s="41"/>
      <c r="E63" s="90">
        <f aca="true" t="shared" si="61" ref="E63:R63">SUM(E12,E22,E28,E35,E42,E48,E50)</f>
        <v>155996</v>
      </c>
      <c r="F63" s="90">
        <f t="shared" si="61"/>
        <v>140354</v>
      </c>
      <c r="G63" s="90">
        <f t="shared" si="61"/>
        <v>150279</v>
      </c>
      <c r="H63" s="90">
        <f t="shared" si="61"/>
        <v>152845</v>
      </c>
      <c r="I63" s="90">
        <f t="shared" si="61"/>
        <v>188417</v>
      </c>
      <c r="J63" s="90">
        <f t="shared" si="61"/>
        <v>179914</v>
      </c>
      <c r="K63" s="90">
        <f t="shared" si="61"/>
        <v>190359</v>
      </c>
      <c r="L63" s="90">
        <f t="shared" si="61"/>
        <v>213426</v>
      </c>
      <c r="M63" s="90">
        <f t="shared" si="61"/>
        <v>180361</v>
      </c>
      <c r="N63" s="104">
        <f t="shared" si="61"/>
        <v>81278</v>
      </c>
      <c r="O63" s="105">
        <f t="shared" si="61"/>
        <v>70946</v>
      </c>
      <c r="P63" s="104">
        <f t="shared" si="61"/>
        <v>123106</v>
      </c>
      <c r="Q63" s="105">
        <f t="shared" si="61"/>
        <v>142578</v>
      </c>
      <c r="R63" s="115">
        <f t="shared" si="61"/>
        <v>169497.021</v>
      </c>
      <c r="S63" s="155">
        <f>SUM(S12,S22,S28,S35,S42,S50,S48)</f>
        <v>12156</v>
      </c>
      <c r="T63" s="165"/>
      <c r="U63" s="166">
        <f>SUM(U12,U22,U28,U35,U42,U50,U48)</f>
        <v>12495</v>
      </c>
      <c r="V63" s="166">
        <f>SUM(V12,V22,V28,V35,V42,V50,V48)</f>
        <v>15159</v>
      </c>
      <c r="W63" s="166">
        <f>SUM(W12,W22,W28,W35,W42,W50,W48)</f>
        <v>15726</v>
      </c>
      <c r="X63" s="166">
        <f>SUM(X12,X22,X28,X35,X42,X50,X48)</f>
        <v>12181</v>
      </c>
      <c r="Y63" s="106">
        <f>SUM(Y12,Y22,Y28,Y35,Y42,Y50,Y48)</f>
        <v>11073</v>
      </c>
      <c r="Z63" s="167">
        <f>SUM(Z50,Z48,Z42,Z35,Z28,Z22,Z12)</f>
        <v>15698</v>
      </c>
      <c r="AA63" s="167">
        <f>SUM(AA50,AA48,AA42,AA35,AA28,AA22,AA12)</f>
        <v>15404</v>
      </c>
      <c r="AB63" s="166">
        <f>SUM(AV12,AV22,AV28,AV35,AV42,AV48,AV50)</f>
        <v>8462.585</v>
      </c>
      <c r="AC63" s="162">
        <f>SUM(AC50,AC48,AC42,AC35,AC28,AC22,AC12)</f>
        <v>15856</v>
      </c>
      <c r="AD63" s="166">
        <f>SUM(AD50,AD48,AD42,AD35,AD28,AD22,AD12)</f>
        <v>17103.021</v>
      </c>
      <c r="AE63" s="155">
        <f>SUM(AE50,AE48,AE42,AE35,AE28,AE22,AE12)</f>
        <v>169497.021</v>
      </c>
      <c r="AF63" s="113">
        <f>SUM(AF12,AF22,AF28,AF35,AF42,AF48,AF50)</f>
        <v>154838.365</v>
      </c>
      <c r="AG63" s="113">
        <v>156234</v>
      </c>
      <c r="AH63" s="117">
        <v>175390</v>
      </c>
      <c r="AI63" s="117">
        <v>169014</v>
      </c>
      <c r="AJ63" s="117">
        <v>189264</v>
      </c>
      <c r="AK63" s="77">
        <v>172049</v>
      </c>
      <c r="AL63" s="77">
        <f aca="true" t="shared" si="62" ref="AL63:AU63">SUM(AL12,AL22,AL28,AL35,AL42,AL48,AL50)</f>
        <v>123636.72200000001</v>
      </c>
      <c r="AM63" s="77">
        <f t="shared" si="62"/>
        <v>107281.687</v>
      </c>
      <c r="AN63" s="77">
        <f t="shared" si="62"/>
        <v>8083.791</v>
      </c>
      <c r="AO63" s="77">
        <f t="shared" si="62"/>
        <v>9956.168000000001</v>
      </c>
      <c r="AP63" s="77">
        <f t="shared" si="62"/>
        <v>9890.189999999999</v>
      </c>
      <c r="AQ63" s="77">
        <f t="shared" si="62"/>
        <v>9081.662</v>
      </c>
      <c r="AR63" s="77">
        <f t="shared" si="62"/>
        <v>8711.331999999999</v>
      </c>
      <c r="AS63" s="77">
        <f t="shared" si="62"/>
        <v>8199.849</v>
      </c>
      <c r="AT63" s="77">
        <f t="shared" si="62"/>
        <v>9858.168</v>
      </c>
      <c r="AU63" s="77">
        <f t="shared" si="62"/>
        <v>7439.081999999999</v>
      </c>
      <c r="AV63" s="77">
        <f>SUM(AV12,AV22,AV35,AV42,AV48,AV50)</f>
        <v>8462.585</v>
      </c>
      <c r="AW63" s="77">
        <f>SUM(AW12,AW22,AW28,AW35,AW42,AW48,AW50)</f>
        <v>9218.023000000001</v>
      </c>
      <c r="AX63" s="77">
        <f>SUM(AX12,AX22,AX28,AX35,AX42,AX48,AX50)</f>
        <v>8831.542000000001</v>
      </c>
      <c r="AY63" s="77">
        <f>SUM(AY12,AY22,AY28,AY35,AY42,AY48,AY50)</f>
        <v>9548.904999999999</v>
      </c>
      <c r="AZ63" s="77">
        <f>SUM(AZ12,AZ22,AZ28,AZ35,AZ42,AZ48,AZ50)</f>
        <v>107281.687</v>
      </c>
      <c r="BA63" s="77">
        <f>SUM(BA12,BA22,BA28,BA35,BA42,BA48,BA50)</f>
        <v>167636.927</v>
      </c>
      <c r="BB63" s="77">
        <v>213541.967</v>
      </c>
      <c r="BC63" s="158">
        <f>SUM(BC12,BC22,BC28,BC35,BC42,BC48,BC50)</f>
        <v>224156.575</v>
      </c>
      <c r="BD63" s="158">
        <v>183023.85599999997</v>
      </c>
      <c r="BE63" s="158">
        <v>95422.667</v>
      </c>
      <c r="BF63" s="158">
        <v>126186.587</v>
      </c>
      <c r="BG63" s="158">
        <v>72311.35800000001</v>
      </c>
      <c r="BH63" s="158">
        <v>101255.218</v>
      </c>
      <c r="BI63" s="77">
        <f aca="true" t="shared" si="63" ref="BI63:BT63">SUM(BI12,BI22,BI28,BI35,BI42,BI48,BI50)</f>
        <v>11781.288</v>
      </c>
      <c r="BJ63" s="77">
        <f t="shared" si="63"/>
        <v>9824.469000000001</v>
      </c>
      <c r="BK63" s="77">
        <f t="shared" si="63"/>
        <v>15647.872000000001</v>
      </c>
      <c r="BL63" s="77">
        <f t="shared" si="63"/>
        <v>9359.085</v>
      </c>
      <c r="BM63" s="77">
        <f t="shared" si="63"/>
        <v>12205.997000000001</v>
      </c>
      <c r="BN63" s="77">
        <f t="shared" si="63"/>
        <v>14964.338</v>
      </c>
      <c r="BO63" s="77">
        <f t="shared" si="63"/>
        <v>13741.36</v>
      </c>
      <c r="BP63" s="77">
        <f t="shared" si="63"/>
        <v>17107.777</v>
      </c>
      <c r="BQ63" s="77">
        <f t="shared" si="63"/>
        <v>16137.132000000001</v>
      </c>
      <c r="BR63" s="77">
        <f t="shared" si="63"/>
        <v>14628.671</v>
      </c>
      <c r="BS63" s="77">
        <f t="shared" si="63"/>
        <v>15326.106</v>
      </c>
      <c r="BT63" s="77">
        <f t="shared" si="63"/>
        <v>16890.832000000002</v>
      </c>
      <c r="BU63" s="77">
        <f>SUM(BI63:BT63)</f>
        <v>167614.927</v>
      </c>
      <c r="BV63" s="77">
        <f aca="true" t="shared" si="64" ref="BV63:CG63">SUM(BV12,BV22,BV28,BV35,BV42,BV48,BV50)</f>
        <v>17882.915999999997</v>
      </c>
      <c r="BW63" s="77">
        <f t="shared" si="64"/>
        <v>13752.192</v>
      </c>
      <c r="BX63" s="77">
        <f>SUM(BX12,BX22,BX28,BX35,BX42,BX48,BX50)</f>
        <v>12669.56</v>
      </c>
      <c r="BY63" s="77">
        <f t="shared" si="64"/>
        <v>13369.895</v>
      </c>
      <c r="BZ63" s="77">
        <f t="shared" si="64"/>
        <v>13547.445</v>
      </c>
      <c r="CA63" s="77">
        <f t="shared" si="64"/>
        <v>13249.824</v>
      </c>
      <c r="CB63" s="77">
        <f t="shared" si="64"/>
        <v>13907.768</v>
      </c>
      <c r="CC63" s="77">
        <f t="shared" si="64"/>
        <v>20675.714</v>
      </c>
      <c r="CD63" s="77">
        <f t="shared" si="64"/>
        <v>18994.299</v>
      </c>
      <c r="CE63" s="77">
        <f t="shared" si="64"/>
        <v>24332.082000000002</v>
      </c>
      <c r="CF63" s="77">
        <f t="shared" si="64"/>
        <v>25649.273999999998</v>
      </c>
      <c r="CG63" s="77">
        <f t="shared" si="64"/>
        <v>25510.998</v>
      </c>
      <c r="CH63" s="77">
        <f>SUM(CH12,CH22,CH28,CH35,CH42,CH48,CH50)</f>
        <v>213541.967</v>
      </c>
      <c r="CI63" s="77">
        <f>SUM(CI12,CI22,CI28,CI35,CI42,CI48,CI50)</f>
        <v>24698.087</v>
      </c>
      <c r="CJ63" s="77">
        <f aca="true" t="shared" si="65" ref="CJ63:CT63">SUM(CJ12,CJ22,CJ28,CJ35,CJ42,CJ48,CJ50)</f>
        <v>21655.373</v>
      </c>
      <c r="CK63" s="77">
        <f t="shared" si="65"/>
        <v>22693.85</v>
      </c>
      <c r="CL63" s="77">
        <f t="shared" si="65"/>
        <v>18911.659</v>
      </c>
      <c r="CM63" s="77">
        <f t="shared" si="65"/>
        <v>13807.826000000001</v>
      </c>
      <c r="CN63" s="77">
        <f t="shared" si="65"/>
        <v>16130.659</v>
      </c>
      <c r="CO63" s="77">
        <f t="shared" si="65"/>
        <v>21262.838000000003</v>
      </c>
      <c r="CP63" s="77">
        <f t="shared" si="65"/>
        <v>17978.801</v>
      </c>
      <c r="CQ63" s="77">
        <f t="shared" si="65"/>
        <v>17095.679</v>
      </c>
      <c r="CR63" s="77">
        <f t="shared" si="65"/>
        <v>16935.561999999998</v>
      </c>
      <c r="CS63" s="77">
        <f t="shared" si="65"/>
        <v>18308.071000000004</v>
      </c>
      <c r="CT63" s="77">
        <f t="shared" si="65"/>
        <v>14677.874999999998</v>
      </c>
      <c r="CU63" s="77">
        <f>SUM(CU12,CU22,CU28,CU35,CU42,CU48,CU50)</f>
        <v>224156.28000000003</v>
      </c>
      <c r="CV63" s="77">
        <f aca="true" t="shared" si="66" ref="CV63:DC63">SUM(CV12,CV22,CV28,CV35,CV42,CV48,CV50)</f>
        <v>15587.458000000002</v>
      </c>
      <c r="CW63" s="77">
        <f t="shared" si="66"/>
        <v>16217.208</v>
      </c>
      <c r="CX63" s="77">
        <f t="shared" si="66"/>
        <v>18990.832000000002</v>
      </c>
      <c r="CY63" s="77">
        <f t="shared" si="66"/>
        <v>19262.161</v>
      </c>
      <c r="CZ63" s="77">
        <f t="shared" si="66"/>
        <v>15309.479</v>
      </c>
      <c r="DA63" s="77">
        <f t="shared" si="66"/>
        <v>17770.199999999997</v>
      </c>
      <c r="DB63" s="77">
        <f t="shared" si="66"/>
        <v>15977.815</v>
      </c>
      <c r="DC63" s="77">
        <f t="shared" si="66"/>
        <v>14288.802</v>
      </c>
      <c r="DD63" s="77">
        <f>SUM(DD12,DD22,DD28,DD35,DD42,DD48,DD50)</f>
        <v>10122.683</v>
      </c>
      <c r="DE63" s="77">
        <f>SUM(DE12,DE22,DE28,DE35,DE42,DE48,DE50)</f>
        <v>13879.994999999999</v>
      </c>
      <c r="DF63" s="77">
        <f>SUM(DF12,DF22,DF28,DF35,DF42,DF48,DF50)</f>
        <v>13191.367</v>
      </c>
      <c r="DG63" s="77">
        <f>SUM(DG12,DG22,DG28,DG35,DG42,DG48,DG50)</f>
        <v>11427.544999999998</v>
      </c>
      <c r="DH63" s="158">
        <f>SUM(DH12,DH22,DH28,DH35,DH42,DH48,DH50)</f>
        <v>182025.54499999998</v>
      </c>
      <c r="DI63" s="158">
        <f aca="true" t="shared" si="67" ref="DI63:DS63">SUM(DI12,DI22,DI28,DI35,DI42,DI48,DI50)</f>
        <v>5800.214</v>
      </c>
      <c r="DJ63" s="158">
        <f t="shared" si="67"/>
        <v>8424.568</v>
      </c>
      <c r="DK63" s="158">
        <f t="shared" si="67"/>
        <v>7070.132</v>
      </c>
      <c r="DL63" s="158">
        <f t="shared" si="67"/>
        <v>5745.233</v>
      </c>
      <c r="DM63" s="158">
        <f t="shared" si="67"/>
        <v>9480.475</v>
      </c>
      <c r="DN63" s="158">
        <f t="shared" si="67"/>
        <v>6856.955000000001</v>
      </c>
      <c r="DO63" s="158">
        <f t="shared" si="67"/>
        <v>7474.315999999999</v>
      </c>
      <c r="DP63" s="158">
        <f t="shared" si="67"/>
        <v>11953.988000000001</v>
      </c>
      <c r="DQ63" s="158">
        <f t="shared" si="67"/>
        <v>9814.212000000001</v>
      </c>
      <c r="DR63" s="158">
        <f t="shared" si="67"/>
        <v>7303.726000000001</v>
      </c>
      <c r="DS63" s="158">
        <f t="shared" si="67"/>
        <v>6213.773</v>
      </c>
      <c r="DT63" s="77">
        <f aca="true" t="shared" si="68" ref="DT63:EG63">SUM(DT12,DT22,DT28,DT35,DT42,DT48,DT50)</f>
        <v>9285.075</v>
      </c>
      <c r="DU63" s="158">
        <f>SUM(DU12,DU22,DU28,DU35,DU42,DU48,DU50)</f>
        <v>95422.667</v>
      </c>
      <c r="DV63" s="158">
        <f t="shared" si="68"/>
        <v>9995.491999999998</v>
      </c>
      <c r="DW63" s="158">
        <f t="shared" si="68"/>
        <v>7702.826</v>
      </c>
      <c r="DX63" s="158">
        <f t="shared" si="68"/>
        <v>11424.153</v>
      </c>
      <c r="DY63" s="158">
        <f t="shared" si="68"/>
        <v>5987.902999999998</v>
      </c>
      <c r="DZ63" s="158">
        <f t="shared" si="68"/>
        <v>8743.752</v>
      </c>
      <c r="EA63" s="158">
        <f t="shared" si="68"/>
        <v>10381.774000000001</v>
      </c>
      <c r="EB63" s="158">
        <f t="shared" si="68"/>
        <v>11846.633</v>
      </c>
      <c r="EC63" s="158">
        <f t="shared" si="68"/>
        <v>12441.026000000002</v>
      </c>
      <c r="ED63" s="158">
        <f t="shared" si="68"/>
        <v>11239.702000000001</v>
      </c>
      <c r="EE63" s="158">
        <f t="shared" si="68"/>
        <v>13552.211</v>
      </c>
      <c r="EF63" s="158">
        <f t="shared" si="68"/>
        <v>11547.132</v>
      </c>
      <c r="EG63" s="158">
        <f t="shared" si="68"/>
        <v>11323.583</v>
      </c>
      <c r="EH63" s="158">
        <f>SUM(EH12,EH22,EH28,EH35,EH42,EH48,EH50)</f>
        <v>126186.187</v>
      </c>
      <c r="EI63" s="158">
        <f aca="true" t="shared" si="69" ref="EI63:ET63">SUM(EI12,EI22,EI28,EI35,EI42,EI48,EI50)</f>
        <v>9728.232</v>
      </c>
      <c r="EJ63" s="158">
        <f t="shared" si="69"/>
        <v>6416.599</v>
      </c>
      <c r="EK63" s="158">
        <f t="shared" si="69"/>
        <v>6566.156</v>
      </c>
      <c r="EL63" s="158">
        <f t="shared" si="69"/>
        <v>5209.261</v>
      </c>
      <c r="EM63" s="158">
        <f t="shared" si="69"/>
        <v>4606.2660000000005</v>
      </c>
      <c r="EN63" s="158">
        <f t="shared" si="69"/>
        <v>4537.577</v>
      </c>
      <c r="EO63" s="158">
        <f t="shared" si="69"/>
        <v>4607.98</v>
      </c>
      <c r="EP63" s="158">
        <f t="shared" si="69"/>
        <v>2971.2229999999995</v>
      </c>
      <c r="EQ63" s="158">
        <f t="shared" si="69"/>
        <v>7326.9890000000005</v>
      </c>
      <c r="ER63" s="158">
        <f t="shared" si="69"/>
        <v>3883.65</v>
      </c>
      <c r="ES63" s="158">
        <f t="shared" si="69"/>
        <v>8791.91</v>
      </c>
      <c r="ET63" s="158">
        <f t="shared" si="69"/>
        <v>6067.981</v>
      </c>
      <c r="EU63" s="158">
        <f>SUM(EU12,EU22,EU28,EU35,EU42,EU48,EU50)</f>
        <v>72057.82400000001</v>
      </c>
      <c r="EV63" s="158">
        <f aca="true" t="shared" si="70" ref="EV63:FG63">SUM(EV12,EV22,EV28,EV35,EV42,EV48,EV50)</f>
        <v>6594.893</v>
      </c>
      <c r="EW63" s="158">
        <f t="shared" si="70"/>
        <v>4482.422</v>
      </c>
      <c r="EX63" s="158">
        <f t="shared" si="70"/>
        <v>5720.3820000000005</v>
      </c>
      <c r="EY63" s="158">
        <f t="shared" si="70"/>
        <v>6535.379</v>
      </c>
      <c r="EZ63" s="158">
        <f t="shared" si="70"/>
        <v>4488.226</v>
      </c>
      <c r="FA63" s="158">
        <f t="shared" si="70"/>
        <v>8939.065</v>
      </c>
      <c r="FB63" s="158">
        <f t="shared" si="70"/>
        <v>10989.006</v>
      </c>
      <c r="FC63" s="158">
        <f t="shared" si="70"/>
        <v>7683.88</v>
      </c>
      <c r="FD63" s="158">
        <f t="shared" si="70"/>
        <v>11608.647999999997</v>
      </c>
      <c r="FE63" s="158">
        <f t="shared" si="70"/>
        <v>11512.006999999998</v>
      </c>
      <c r="FF63" s="158">
        <f t="shared" si="70"/>
        <v>11438.580999999998</v>
      </c>
      <c r="FG63" s="158">
        <f t="shared" si="70"/>
        <v>11262.729</v>
      </c>
      <c r="FH63" s="158">
        <f aca="true" t="shared" si="71" ref="FH63:FP63">SUM(FH12,FH22,FH28,FH35,FH42,FH48,FH50)</f>
        <v>47749.373</v>
      </c>
      <c r="FI63" s="158">
        <f t="shared" si="71"/>
        <v>8883.735</v>
      </c>
      <c r="FJ63" s="158">
        <f t="shared" si="71"/>
        <v>11142.895</v>
      </c>
      <c r="FK63" s="158">
        <f t="shared" si="71"/>
        <v>14657.637</v>
      </c>
      <c r="FL63" s="158">
        <f>SUM(FL12,FL22,FL28,FL35,FL42,FL48,FL50)</f>
        <v>14578.926</v>
      </c>
      <c r="FM63" s="158">
        <f>SUM(FM12,FM22,FM28,FM35,FM42,FM48,FM50)</f>
        <v>13818.67</v>
      </c>
      <c r="FN63" s="158">
        <f>SUM(FN12,FN22,FN28,FN35,FN42,FN48,FN50)</f>
        <v>10768.064999999999</v>
      </c>
      <c r="FO63" s="158">
        <f>SUM(FO12,FO22,FO28,FO35,FO42,FO48,FO50)</f>
        <v>16127.322999999999</v>
      </c>
      <c r="FP63" s="158">
        <f t="shared" si="71"/>
        <v>89977.251</v>
      </c>
      <c r="FQ63" s="12"/>
      <c r="FR63" s="12"/>
      <c r="FS63" s="18"/>
      <c r="FT63" s="18"/>
      <c r="FU63" s="18"/>
      <c r="FV63" s="18"/>
      <c r="FW63" s="12"/>
      <c r="FX63" s="12"/>
    </row>
    <row r="64" spans="1:180" ht="15.75">
      <c r="A64" s="98"/>
      <c r="B64" s="52"/>
      <c r="C64" s="52"/>
      <c r="D64" s="52"/>
      <c r="E64" s="51"/>
      <c r="F64" s="51"/>
      <c r="G64" s="51"/>
      <c r="H64" s="51"/>
      <c r="I64" s="51"/>
      <c r="J64" s="51"/>
      <c r="K64" s="51"/>
      <c r="L64" s="51"/>
      <c r="M64" s="51"/>
      <c r="N64" s="139"/>
      <c r="O64" s="140"/>
      <c r="P64" s="139"/>
      <c r="Q64" s="140"/>
      <c r="R64" s="140"/>
      <c r="S64" s="139"/>
      <c r="T64" s="168"/>
      <c r="U64" s="140"/>
      <c r="V64" s="140"/>
      <c r="W64" s="140"/>
      <c r="X64" s="140"/>
      <c r="Y64" s="140"/>
      <c r="Z64" s="140"/>
      <c r="AA64" s="140"/>
      <c r="AB64" s="140"/>
      <c r="AC64" s="141"/>
      <c r="AD64" s="140"/>
      <c r="AE64" s="142"/>
      <c r="AF64" s="143"/>
      <c r="AG64" s="143"/>
      <c r="AH64" s="143"/>
      <c r="AI64" s="143"/>
      <c r="AJ64" s="143"/>
      <c r="AK64" s="143"/>
      <c r="AL64" s="143"/>
      <c r="AM64" s="143"/>
      <c r="AN64" s="141"/>
      <c r="AO64" s="141"/>
      <c r="AP64" s="140"/>
      <c r="AQ64" s="140"/>
      <c r="AR64" s="144"/>
      <c r="AS64" s="140"/>
      <c r="AT64" s="140"/>
      <c r="AU64" s="141"/>
      <c r="AV64" s="140"/>
      <c r="AW64" s="140"/>
      <c r="AX64" s="141"/>
      <c r="AY64" s="169"/>
      <c r="AZ64" s="143"/>
      <c r="BA64" s="143"/>
      <c r="BB64" s="143"/>
      <c r="BC64" s="143"/>
      <c r="BD64" s="143"/>
      <c r="BE64" s="143"/>
      <c r="BF64" s="143"/>
      <c r="BG64" s="143"/>
      <c r="BH64" s="143"/>
      <c r="BI64" s="140"/>
      <c r="BJ64" s="141"/>
      <c r="BK64" s="140"/>
      <c r="BL64" s="140"/>
      <c r="BM64" s="144"/>
      <c r="BN64" s="140"/>
      <c r="BO64" s="140"/>
      <c r="BP64" s="140"/>
      <c r="BQ64" s="140"/>
      <c r="BR64" s="140"/>
      <c r="BS64" s="140"/>
      <c r="BT64" s="143"/>
      <c r="BU64" s="148"/>
      <c r="BV64" s="140"/>
      <c r="BW64" s="140"/>
      <c r="BX64" s="140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07"/>
      <c r="CM64" s="107"/>
      <c r="CN64" s="107"/>
      <c r="CO64" s="107"/>
      <c r="CP64" s="107"/>
      <c r="CQ64" s="107"/>
      <c r="CR64" s="107"/>
      <c r="CS64" s="107"/>
      <c r="CT64" s="148"/>
      <c r="CU64" s="149"/>
      <c r="CV64" s="150"/>
      <c r="CW64" s="149"/>
      <c r="CX64" s="149"/>
      <c r="CY64" s="149"/>
      <c r="CZ64" s="149"/>
      <c r="DA64" s="170"/>
      <c r="DB64" s="170"/>
      <c r="DC64" s="170"/>
      <c r="DD64" s="170"/>
      <c r="DE64" s="170"/>
      <c r="DF64" s="170"/>
      <c r="DG64" s="170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9"/>
      <c r="FR64" s="19"/>
      <c r="FS64" s="18"/>
      <c r="FT64" s="18"/>
      <c r="FU64" s="18"/>
      <c r="FV64" s="18"/>
      <c r="FW64" s="18"/>
      <c r="FX64" s="18"/>
    </row>
    <row r="65" spans="1:180" ht="15.75">
      <c r="A65" s="62"/>
      <c r="B65" s="35"/>
      <c r="C65" s="35"/>
      <c r="D65" s="35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35"/>
      <c r="P65" s="101"/>
      <c r="Q65" s="35"/>
      <c r="R65" s="101"/>
      <c r="S65" s="35"/>
      <c r="T65" s="101"/>
      <c r="U65" s="35"/>
      <c r="V65" s="35"/>
      <c r="W65" s="35"/>
      <c r="X65" s="35"/>
      <c r="Y65" s="101"/>
      <c r="Z65" s="101"/>
      <c r="AA65" s="101"/>
      <c r="AB65" s="101"/>
      <c r="AC65" s="101"/>
      <c r="AD65" s="101"/>
      <c r="AE65" s="172"/>
      <c r="AF65" s="172"/>
      <c r="AG65" s="172"/>
      <c r="AH65" s="172"/>
      <c r="AI65" s="172"/>
      <c r="AJ65" s="172"/>
      <c r="AK65" s="172"/>
      <c r="AL65" s="172"/>
      <c r="AM65" s="172"/>
      <c r="AN65" s="101"/>
      <c r="AO65" s="35"/>
      <c r="AP65" s="35"/>
      <c r="AQ65" s="35"/>
      <c r="AR65" s="173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35"/>
      <c r="BK65" s="35"/>
      <c r="BL65" s="35"/>
      <c r="BM65" s="174"/>
      <c r="BN65" s="101"/>
      <c r="BO65" s="101"/>
      <c r="BP65" s="101"/>
      <c r="BQ65" s="101"/>
      <c r="BR65" s="101"/>
      <c r="BS65" s="101"/>
      <c r="BT65" s="101"/>
      <c r="BU65" s="173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73"/>
      <c r="CU65" s="173"/>
      <c r="CV65" s="35"/>
      <c r="CW65" s="173"/>
      <c r="CX65" s="173"/>
      <c r="CY65" s="173"/>
      <c r="CZ65" s="173"/>
      <c r="DA65" s="214"/>
      <c r="DB65" s="214"/>
      <c r="DC65" s="214"/>
      <c r="DD65" s="214"/>
      <c r="DE65" s="214"/>
      <c r="DF65" s="214"/>
      <c r="DG65" s="21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328"/>
      <c r="FJ65" s="154"/>
      <c r="FK65" s="154"/>
      <c r="FL65" s="154"/>
      <c r="FM65" s="154"/>
      <c r="FN65" s="154"/>
      <c r="FO65" s="154"/>
      <c r="FP65" s="157"/>
      <c r="FQ65" s="7"/>
      <c r="FR65" s="7"/>
      <c r="FS65" s="19"/>
      <c r="FT65" s="19"/>
      <c r="FU65" s="19"/>
      <c r="FV65" s="19"/>
      <c r="FW65" s="12"/>
      <c r="FX65" s="12"/>
    </row>
    <row r="66" spans="1:180" ht="18.75">
      <c r="A66" s="355" t="s">
        <v>78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  <c r="DH66" s="356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6"/>
      <c r="EG66" s="356"/>
      <c r="EH66" s="356"/>
      <c r="EI66" s="1"/>
      <c r="EJ66" s="245"/>
      <c r="EK66" s="251"/>
      <c r="EL66" s="255"/>
      <c r="EM66" s="259"/>
      <c r="EN66" s="263"/>
      <c r="EO66" s="267"/>
      <c r="EP66" s="271"/>
      <c r="EQ66" s="276"/>
      <c r="ER66" s="280"/>
      <c r="ES66" s="284"/>
      <c r="ET66" s="288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28"/>
      <c r="FJ66" s="1"/>
      <c r="FK66" s="1"/>
      <c r="FL66" s="1"/>
      <c r="FM66" s="1"/>
      <c r="FN66" s="1"/>
      <c r="FO66" s="1"/>
      <c r="FP66" s="2"/>
      <c r="FQ66" s="273"/>
      <c r="FR66" s="7"/>
      <c r="FS66" s="7"/>
      <c r="FT66" s="7"/>
      <c r="FU66" s="7"/>
      <c r="FV66" s="7"/>
      <c r="FW66" s="7"/>
      <c r="FX66" s="7"/>
    </row>
    <row r="67" spans="1:180" ht="15.75">
      <c r="A67" s="340" t="s">
        <v>91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1"/>
      <c r="CY67" s="341"/>
      <c r="CZ67" s="341"/>
      <c r="DA67" s="341"/>
      <c r="DB67" s="341"/>
      <c r="DC67" s="341"/>
      <c r="DD67" s="341"/>
      <c r="DE67" s="341"/>
      <c r="DF67" s="341"/>
      <c r="DG67" s="341"/>
      <c r="DH67" s="341"/>
      <c r="DI67" s="341"/>
      <c r="DJ67" s="341"/>
      <c r="DK67" s="341"/>
      <c r="DL67" s="341"/>
      <c r="DM67" s="341"/>
      <c r="DN67" s="341"/>
      <c r="DO67" s="341"/>
      <c r="DP67" s="341"/>
      <c r="DQ67" s="341"/>
      <c r="DR67" s="341"/>
      <c r="DS67" s="341"/>
      <c r="DT67" s="341"/>
      <c r="DU67" s="341"/>
      <c r="DV67" s="341"/>
      <c r="DW67" s="341"/>
      <c r="DX67" s="341"/>
      <c r="DY67" s="341"/>
      <c r="DZ67" s="341"/>
      <c r="EA67" s="341"/>
      <c r="EB67" s="341"/>
      <c r="EC67" s="341"/>
      <c r="ED67" s="341"/>
      <c r="EE67" s="341"/>
      <c r="EF67" s="341"/>
      <c r="EG67" s="341"/>
      <c r="EH67" s="341"/>
      <c r="EI67" s="1"/>
      <c r="EJ67" s="246"/>
      <c r="EK67" s="252"/>
      <c r="EL67" s="256"/>
      <c r="EM67" s="260"/>
      <c r="EN67" s="264"/>
      <c r="EO67" s="268"/>
      <c r="EP67" s="272"/>
      <c r="EQ67" s="277"/>
      <c r="ER67" s="281"/>
      <c r="ES67" s="285"/>
      <c r="ET67" s="289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28"/>
      <c r="FJ67" s="1"/>
      <c r="FK67" s="1"/>
      <c r="FL67" s="1"/>
      <c r="FM67" s="1"/>
      <c r="FN67" s="1"/>
      <c r="FO67" s="1"/>
      <c r="FP67" s="2"/>
      <c r="FQ67" s="7"/>
      <c r="FR67" s="7"/>
      <c r="FS67" s="7"/>
      <c r="FT67" s="7"/>
      <c r="FU67" s="7"/>
      <c r="FV67" s="7"/>
      <c r="FW67" s="27"/>
      <c r="FX67" s="27"/>
    </row>
    <row r="68" spans="1:180" ht="15.75">
      <c r="A68" s="100"/>
      <c r="B68" s="52"/>
      <c r="C68" s="52"/>
      <c r="D68" s="52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176"/>
      <c r="AF68" s="176"/>
      <c r="AG68" s="176"/>
      <c r="AH68" s="176"/>
      <c r="AI68" s="176"/>
      <c r="AJ68" s="176"/>
      <c r="AK68" s="176"/>
      <c r="AL68" s="176"/>
      <c r="AM68" s="176"/>
      <c r="AN68" s="51"/>
      <c r="AO68" s="51"/>
      <c r="AP68" s="51"/>
      <c r="AQ68" s="51"/>
      <c r="AR68" s="177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177"/>
      <c r="BN68" s="51"/>
      <c r="BO68" s="51"/>
      <c r="BP68" s="51"/>
      <c r="BQ68" s="51"/>
      <c r="BR68" s="51"/>
      <c r="BS68" s="51"/>
      <c r="BT68" s="51"/>
      <c r="BU68" s="178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178"/>
      <c r="CU68" s="178"/>
      <c r="CV68" s="52"/>
      <c r="CW68" s="178"/>
      <c r="CX68" s="178"/>
      <c r="CY68" s="178"/>
      <c r="CZ68" s="178"/>
      <c r="DA68" s="179"/>
      <c r="DB68" s="179"/>
      <c r="DC68" s="179"/>
      <c r="DD68" s="179"/>
      <c r="DE68" s="179"/>
      <c r="DF68" s="179"/>
      <c r="DG68" s="179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329"/>
      <c r="FJ68" s="168"/>
      <c r="FK68" s="168"/>
      <c r="FL68" s="168"/>
      <c r="FM68" s="168"/>
      <c r="FN68" s="168"/>
      <c r="FO68" s="168"/>
      <c r="FP68" s="150"/>
      <c r="FQ68" s="10"/>
      <c r="FR68" s="10"/>
      <c r="FS68" s="7"/>
      <c r="FT68" s="7"/>
      <c r="FU68" s="7"/>
      <c r="FV68" s="7"/>
      <c r="FW68" s="27"/>
      <c r="FX68" s="27"/>
    </row>
    <row r="69" spans="1:180" ht="15.75">
      <c r="A69" s="180"/>
      <c r="B69" s="41"/>
      <c r="C69" s="41"/>
      <c r="D69" s="41"/>
      <c r="E69" s="181"/>
      <c r="F69" s="181"/>
      <c r="G69" s="181"/>
      <c r="H69" s="181"/>
      <c r="I69" s="181"/>
      <c r="J69" s="181"/>
      <c r="K69" s="181"/>
      <c r="L69" s="181"/>
      <c r="M69" s="181"/>
      <c r="N69" s="182"/>
      <c r="O69" s="183"/>
      <c r="P69" s="182"/>
      <c r="Q69" s="182"/>
      <c r="R69" s="182"/>
      <c r="S69" s="181"/>
      <c r="T69" s="181"/>
      <c r="U69" s="181"/>
      <c r="V69" s="181"/>
      <c r="W69" s="182"/>
      <c r="X69" s="184"/>
      <c r="Y69" s="182"/>
      <c r="Z69" s="184"/>
      <c r="AA69" s="184"/>
      <c r="AB69" s="184"/>
      <c r="AC69" s="182"/>
      <c r="AD69" s="184"/>
      <c r="AE69" s="185"/>
      <c r="AF69" s="186"/>
      <c r="AG69" s="186"/>
      <c r="AH69" s="185"/>
      <c r="AI69" s="185"/>
      <c r="AJ69" s="185"/>
      <c r="AK69" s="185"/>
      <c r="AL69" s="185"/>
      <c r="AM69" s="185"/>
      <c r="AN69" s="187"/>
      <c r="AO69" s="187"/>
      <c r="AP69" s="182"/>
      <c r="AQ69" s="184"/>
      <c r="AR69" s="113"/>
      <c r="AS69" s="184"/>
      <c r="AT69" s="184"/>
      <c r="AU69" s="184"/>
      <c r="AV69" s="184"/>
      <c r="AW69" s="184"/>
      <c r="AX69" s="182"/>
      <c r="AY69" s="187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8"/>
      <c r="BK69" s="187"/>
      <c r="BL69" s="187"/>
      <c r="BM69" s="159"/>
      <c r="BN69" s="187"/>
      <c r="BO69" s="187"/>
      <c r="BP69" s="187"/>
      <c r="BQ69" s="187"/>
      <c r="BR69" s="187"/>
      <c r="BS69" s="187"/>
      <c r="BT69" s="187"/>
      <c r="BU69" s="107"/>
      <c r="BV69" s="184"/>
      <c r="BW69" s="184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07"/>
      <c r="CU69" s="107"/>
      <c r="CV69" s="49"/>
      <c r="CW69" s="107"/>
      <c r="CX69" s="107"/>
      <c r="CY69" s="107"/>
      <c r="CZ69" s="107"/>
      <c r="DA69" s="112"/>
      <c r="DB69" s="112"/>
      <c r="DC69" s="112"/>
      <c r="DD69" s="112"/>
      <c r="DE69" s="112"/>
      <c r="DF69" s="112"/>
      <c r="DG69" s="112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"/>
      <c r="FR69" s="10"/>
      <c r="FS69" s="10"/>
      <c r="FT69" s="10"/>
      <c r="FU69" s="10"/>
      <c r="FV69" s="10"/>
      <c r="FW69" s="10"/>
      <c r="FX69" s="10"/>
    </row>
    <row r="70" spans="1:180" ht="15.75">
      <c r="A70" s="164" t="s">
        <v>70</v>
      </c>
      <c r="B70" s="90">
        <v>31654</v>
      </c>
      <c r="C70" s="90">
        <v>33689</v>
      </c>
      <c r="D70" s="90">
        <v>34713</v>
      </c>
      <c r="E70" s="90">
        <v>28873</v>
      </c>
      <c r="F70" s="90">
        <v>34657</v>
      </c>
      <c r="G70" s="90">
        <v>28908</v>
      </c>
      <c r="H70" s="90">
        <v>28193</v>
      </c>
      <c r="I70" s="90">
        <v>31284</v>
      </c>
      <c r="J70" s="90">
        <v>21716</v>
      </c>
      <c r="K70" s="90">
        <v>17590</v>
      </c>
      <c r="L70" s="90">
        <v>17435</v>
      </c>
      <c r="M70" s="90">
        <v>27973</v>
      </c>
      <c r="N70" s="105">
        <v>13559</v>
      </c>
      <c r="O70" s="104">
        <v>22228</v>
      </c>
      <c r="P70" s="105">
        <v>21875</v>
      </c>
      <c r="Q70" s="104">
        <v>24752</v>
      </c>
      <c r="R70" s="105">
        <v>26628</v>
      </c>
      <c r="S70" s="45">
        <v>2118</v>
      </c>
      <c r="T70" s="104">
        <v>3714</v>
      </c>
      <c r="U70" s="45">
        <v>3339</v>
      </c>
      <c r="V70" s="45">
        <v>2983</v>
      </c>
      <c r="W70" s="45">
        <v>2028</v>
      </c>
      <c r="X70" s="45">
        <v>1002</v>
      </c>
      <c r="Y70" s="107">
        <f>1106+207</f>
        <v>1313</v>
      </c>
      <c r="Z70" s="77">
        <v>731</v>
      </c>
      <c r="AA70" s="77">
        <v>2599</v>
      </c>
      <c r="AB70" s="77">
        <v>3148</v>
      </c>
      <c r="AC70" s="107">
        <f>1569+55</f>
        <v>1624</v>
      </c>
      <c r="AD70" s="116">
        <f>1974+55</f>
        <v>2029</v>
      </c>
      <c r="AE70" s="106">
        <f>SUM(S70:AD70)</f>
        <v>26628</v>
      </c>
      <c r="AF70" s="105">
        <v>18372</v>
      </c>
      <c r="AG70" s="105">
        <v>17324</v>
      </c>
      <c r="AH70" s="106">
        <v>25112</v>
      </c>
      <c r="AI70" s="106">
        <v>12673</v>
      </c>
      <c r="AJ70" s="106">
        <v>13683</v>
      </c>
      <c r="AK70" s="106">
        <v>8430</v>
      </c>
      <c r="AL70" s="106">
        <v>10990.675000000001</v>
      </c>
      <c r="AM70" s="106">
        <v>7534.093</v>
      </c>
      <c r="AN70" s="113">
        <v>452.132</v>
      </c>
      <c r="AO70" s="77">
        <v>756.034</v>
      </c>
      <c r="AP70" s="77">
        <v>339.526</v>
      </c>
      <c r="AQ70" s="45" t="s">
        <v>29</v>
      </c>
      <c r="AR70" s="113">
        <v>18.3</v>
      </c>
      <c r="AS70" s="189">
        <v>18.3</v>
      </c>
      <c r="AT70" s="77">
        <v>73</v>
      </c>
      <c r="AU70" s="77">
        <v>549</v>
      </c>
      <c r="AV70" s="77">
        <v>1754.36</v>
      </c>
      <c r="AW70" s="77">
        <v>629.581</v>
      </c>
      <c r="AX70" s="77">
        <v>1739.11</v>
      </c>
      <c r="AY70" s="105">
        <v>1204.75</v>
      </c>
      <c r="AZ70" s="77">
        <f aca="true" t="shared" si="72" ref="AZ70:AZ80">SUM(AN70:AX70)</f>
        <v>6329.343</v>
      </c>
      <c r="BA70" s="77">
        <v>5274.67</v>
      </c>
      <c r="BB70" s="77">
        <v>8295.629</v>
      </c>
      <c r="BC70" s="77">
        <v>8204.846</v>
      </c>
      <c r="BD70" s="77">
        <v>13086.909</v>
      </c>
      <c r="BE70" s="77">
        <v>5626.047999999999</v>
      </c>
      <c r="BF70" s="77">
        <v>6283.305</v>
      </c>
      <c r="BG70" s="77">
        <v>4038.496</v>
      </c>
      <c r="BH70" s="77">
        <v>2137.683</v>
      </c>
      <c r="BI70" s="113">
        <v>622.322</v>
      </c>
      <c r="BJ70" s="107">
        <v>1186.45</v>
      </c>
      <c r="BK70" s="77">
        <v>857.782</v>
      </c>
      <c r="BL70" s="116">
        <v>749.69</v>
      </c>
      <c r="BM70" s="113">
        <v>270.108</v>
      </c>
      <c r="BN70" s="189">
        <v>223.199</v>
      </c>
      <c r="BO70" s="77">
        <v>17.446</v>
      </c>
      <c r="BP70" s="77">
        <v>447.801</v>
      </c>
      <c r="BQ70" s="77">
        <v>309.575</v>
      </c>
      <c r="BR70" s="77">
        <v>308.05</v>
      </c>
      <c r="BS70" s="77">
        <v>58.56</v>
      </c>
      <c r="BT70" s="105">
        <v>223.687</v>
      </c>
      <c r="BU70" s="107">
        <f>SUM(BI70:BR70)</f>
        <v>4992.423000000001</v>
      </c>
      <c r="BV70" s="105">
        <v>202.754</v>
      </c>
      <c r="BW70" s="105">
        <v>202.754</v>
      </c>
      <c r="BX70" s="106">
        <v>248.88</v>
      </c>
      <c r="BY70" s="107">
        <v>275.049</v>
      </c>
      <c r="BZ70" s="107">
        <v>260.653</v>
      </c>
      <c r="CA70" s="107">
        <v>32.208</v>
      </c>
      <c r="CB70" s="107">
        <v>1112.64</v>
      </c>
      <c r="CC70" s="107">
        <v>1083.36</v>
      </c>
      <c r="CD70" s="107">
        <v>1468.083</v>
      </c>
      <c r="CE70" s="107">
        <v>1287.72</v>
      </c>
      <c r="CF70" s="107">
        <v>903.48</v>
      </c>
      <c r="CG70" s="107">
        <v>1218.048</v>
      </c>
      <c r="CH70" s="107">
        <f>SUM(BV70:CG70)</f>
        <v>8295.629</v>
      </c>
      <c r="CI70" s="107">
        <v>316.407</v>
      </c>
      <c r="CJ70" s="107">
        <v>170.7</v>
      </c>
      <c r="CK70" s="107">
        <v>113.277</v>
      </c>
      <c r="CL70" s="107">
        <v>130.62</v>
      </c>
      <c r="CM70" s="107">
        <v>97.6</v>
      </c>
      <c r="CN70" s="107">
        <v>79.422</v>
      </c>
      <c r="CO70" s="107">
        <v>844.24</v>
      </c>
      <c r="CP70" s="107">
        <v>919.27</v>
      </c>
      <c r="CQ70" s="107">
        <v>2224.06</v>
      </c>
      <c r="CR70" s="107">
        <v>1596.37</v>
      </c>
      <c r="CS70" s="107">
        <v>791.109</v>
      </c>
      <c r="CT70" s="107">
        <v>921.771</v>
      </c>
      <c r="CU70" s="107">
        <f>SUM(CI70:CT70)</f>
        <v>8204.846</v>
      </c>
      <c r="CV70" s="108">
        <v>198.921</v>
      </c>
      <c r="CW70" s="107">
        <v>28.6</v>
      </c>
      <c r="CX70" s="107">
        <v>50.02</v>
      </c>
      <c r="CY70" s="107">
        <v>22.143</v>
      </c>
      <c r="CZ70" s="113" t="s">
        <v>29</v>
      </c>
      <c r="DA70" s="123">
        <v>480.192</v>
      </c>
      <c r="DB70" s="123">
        <v>2182.96</v>
      </c>
      <c r="DC70" s="123">
        <v>1883.07</v>
      </c>
      <c r="DD70" s="123">
        <v>2530.37</v>
      </c>
      <c r="DE70" s="123">
        <v>2152.625</v>
      </c>
      <c r="DF70" s="123">
        <v>1665.544</v>
      </c>
      <c r="DG70" s="123">
        <v>1892.464</v>
      </c>
      <c r="DH70" s="108">
        <f>SUM(CV70:DE70)</f>
        <v>9528.901</v>
      </c>
      <c r="DI70" s="108">
        <v>1163.1770000000001</v>
      </c>
      <c r="DJ70" s="108">
        <v>443.722</v>
      </c>
      <c r="DK70" s="108">
        <v>85.522</v>
      </c>
      <c r="DL70" s="108">
        <v>105.957</v>
      </c>
      <c r="DM70" s="108">
        <v>1.85</v>
      </c>
      <c r="DN70" s="113" t="s">
        <v>29</v>
      </c>
      <c r="DO70" s="113" t="s">
        <v>29</v>
      </c>
      <c r="DP70" s="117">
        <v>310.124</v>
      </c>
      <c r="DQ70" s="117">
        <v>796.66</v>
      </c>
      <c r="DR70" s="117">
        <v>1247.877</v>
      </c>
      <c r="DS70" s="117">
        <f>869.189+0.514</f>
        <v>869.703</v>
      </c>
      <c r="DT70" s="117">
        <f>601.336+0.12</f>
        <v>601.456</v>
      </c>
      <c r="DU70" s="108">
        <f>SUM(DI70:DT70)</f>
        <v>5626.047999999999</v>
      </c>
      <c r="DV70" s="108">
        <v>234.85</v>
      </c>
      <c r="DW70" s="108">
        <v>170.556</v>
      </c>
      <c r="DX70" s="108">
        <v>205.495</v>
      </c>
      <c r="DY70" s="108">
        <v>58.255</v>
      </c>
      <c r="DZ70" s="108">
        <v>15.322</v>
      </c>
      <c r="EA70" s="108">
        <v>175.68</v>
      </c>
      <c r="EB70" s="108">
        <v>1063.23</v>
      </c>
      <c r="EC70" s="108">
        <v>1074.21</v>
      </c>
      <c r="ED70" s="108">
        <v>1056.4879999999998</v>
      </c>
      <c r="EE70" s="108">
        <v>1068.433</v>
      </c>
      <c r="EF70" s="108">
        <v>733.281</v>
      </c>
      <c r="EG70" s="108">
        <v>427.505</v>
      </c>
      <c r="EH70" s="108">
        <f>SUM(DV70:EG70)</f>
        <v>6283.305</v>
      </c>
      <c r="EI70" s="108">
        <v>413.802</v>
      </c>
      <c r="EJ70" s="108">
        <v>163.06</v>
      </c>
      <c r="EK70" s="220">
        <v>0</v>
      </c>
      <c r="EL70" s="220">
        <v>0</v>
      </c>
      <c r="EM70" s="220">
        <v>0</v>
      </c>
      <c r="EN70" s="108">
        <v>58.56</v>
      </c>
      <c r="EO70" s="108">
        <v>253.76</v>
      </c>
      <c r="EP70" s="108">
        <v>624.64</v>
      </c>
      <c r="EQ70" s="108">
        <v>698.689</v>
      </c>
      <c r="ER70" s="108">
        <v>344.406</v>
      </c>
      <c r="ES70" s="108">
        <v>1067.877</v>
      </c>
      <c r="ET70" s="108">
        <v>413.702</v>
      </c>
      <c r="EU70" s="108">
        <f>SUM(EI70:ET70)</f>
        <v>4038.496</v>
      </c>
      <c r="EV70" s="108">
        <v>357.704</v>
      </c>
      <c r="EW70" s="108">
        <v>367.891</v>
      </c>
      <c r="EX70" s="108">
        <v>58.56</v>
      </c>
      <c r="EY70" s="108">
        <v>24.217</v>
      </c>
      <c r="EZ70" s="108">
        <v>59.17</v>
      </c>
      <c r="FA70" s="108">
        <v>30.561</v>
      </c>
      <c r="FB70" s="108">
        <v>171.985</v>
      </c>
      <c r="FC70" s="108">
        <v>214.72</v>
      </c>
      <c r="FD70" s="108">
        <v>292.8</v>
      </c>
      <c r="FE70" s="108">
        <v>80.195</v>
      </c>
      <c r="FF70" s="108">
        <v>409.92</v>
      </c>
      <c r="FG70" s="108">
        <v>69.96</v>
      </c>
      <c r="FH70" s="108">
        <f>SUM(EV70:FB70)</f>
        <v>1070.088</v>
      </c>
      <c r="FI70" s="108">
        <v>146.888</v>
      </c>
      <c r="FJ70" s="108">
        <v>47.031</v>
      </c>
      <c r="FK70" s="108">
        <v>193.98</v>
      </c>
      <c r="FL70" s="108">
        <v>67.832</v>
      </c>
      <c r="FM70" s="248">
        <v>0</v>
      </c>
      <c r="FN70" s="248">
        <v>0</v>
      </c>
      <c r="FO70" s="248">
        <v>0</v>
      </c>
      <c r="FP70" s="108">
        <f>SUM(FI70:FO70)</f>
        <v>455.731</v>
      </c>
      <c r="FQ70" s="15"/>
      <c r="FR70" s="13"/>
      <c r="FS70" s="13"/>
      <c r="FT70" s="13"/>
      <c r="FU70" s="13"/>
      <c r="FV70" s="13"/>
      <c r="FW70" s="10"/>
      <c r="FX70" s="10"/>
    </row>
    <row r="71" spans="1:180" ht="15.75">
      <c r="A71" s="16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05"/>
      <c r="O71" s="104"/>
      <c r="P71" s="105"/>
      <c r="Q71" s="104"/>
      <c r="R71" s="105"/>
      <c r="S71" s="45"/>
      <c r="T71" s="104"/>
      <c r="U71" s="45"/>
      <c r="V71" s="45"/>
      <c r="W71" s="45"/>
      <c r="X71" s="45"/>
      <c r="Y71" s="107"/>
      <c r="Z71" s="77"/>
      <c r="AA71" s="77"/>
      <c r="AB71" s="77"/>
      <c r="AC71" s="107"/>
      <c r="AD71" s="116"/>
      <c r="AE71" s="106"/>
      <c r="AF71" s="105"/>
      <c r="AG71" s="105"/>
      <c r="AH71" s="106"/>
      <c r="AI71" s="106"/>
      <c r="AJ71" s="106"/>
      <c r="AK71" s="106"/>
      <c r="AL71" s="106"/>
      <c r="AM71" s="106"/>
      <c r="AN71" s="113"/>
      <c r="AO71" s="77"/>
      <c r="AP71" s="77"/>
      <c r="AQ71" s="45"/>
      <c r="AR71" s="113"/>
      <c r="AS71" s="77"/>
      <c r="AT71" s="77"/>
      <c r="AU71" s="77"/>
      <c r="AV71" s="77"/>
      <c r="AW71" s="77"/>
      <c r="AX71" s="115"/>
      <c r="AY71" s="105"/>
      <c r="AZ71" s="77"/>
      <c r="BA71" s="77"/>
      <c r="BB71" s="77"/>
      <c r="BC71" s="77"/>
      <c r="BD71" s="77"/>
      <c r="BE71" s="77"/>
      <c r="BF71" s="77"/>
      <c r="BG71" s="77"/>
      <c r="BH71" s="77"/>
      <c r="BI71" s="113"/>
      <c r="BJ71" s="107"/>
      <c r="BK71" s="77"/>
      <c r="BL71" s="77"/>
      <c r="BM71" s="113"/>
      <c r="BN71" s="77"/>
      <c r="BO71" s="77"/>
      <c r="BP71" s="77"/>
      <c r="BQ71" s="77"/>
      <c r="BR71" s="77"/>
      <c r="BS71" s="115"/>
      <c r="BT71" s="105"/>
      <c r="BU71" s="107"/>
      <c r="BV71" s="105"/>
      <c r="BW71" s="105"/>
      <c r="BX71" s="106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8"/>
      <c r="CW71" s="107"/>
      <c r="CX71" s="107"/>
      <c r="CY71" s="107"/>
      <c r="CZ71" s="107"/>
      <c r="DA71" s="112"/>
      <c r="DB71" s="112"/>
      <c r="DC71" s="112"/>
      <c r="DD71" s="112"/>
      <c r="DE71" s="112"/>
      <c r="DF71" s="112"/>
      <c r="DG71" s="112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3"/>
      <c r="FR71" s="13"/>
      <c r="FS71" s="13"/>
      <c r="FT71" s="13"/>
      <c r="FU71" s="12"/>
      <c r="FV71" s="12"/>
      <c r="FW71" s="12"/>
      <c r="FX71" s="14"/>
    </row>
    <row r="72" spans="1:180" ht="15.75">
      <c r="A72" s="56" t="s">
        <v>92</v>
      </c>
      <c r="B72" s="90">
        <v>175</v>
      </c>
      <c r="C72" s="90">
        <v>279</v>
      </c>
      <c r="D72" s="90">
        <v>1179</v>
      </c>
      <c r="E72" s="90">
        <v>187</v>
      </c>
      <c r="F72" s="90">
        <v>246</v>
      </c>
      <c r="G72" s="90">
        <v>272</v>
      </c>
      <c r="H72" s="90">
        <v>310</v>
      </c>
      <c r="I72" s="90">
        <v>248</v>
      </c>
      <c r="J72" s="90">
        <v>120</v>
      </c>
      <c r="K72" s="90">
        <v>20</v>
      </c>
      <c r="L72" s="118" t="s">
        <v>29</v>
      </c>
      <c r="M72" s="90">
        <v>18</v>
      </c>
      <c r="N72" s="110" t="s">
        <v>79</v>
      </c>
      <c r="O72" s="104">
        <v>74</v>
      </c>
      <c r="P72" s="105">
        <v>100</v>
      </c>
      <c r="Q72" s="104">
        <v>23</v>
      </c>
      <c r="R72" s="113" t="s">
        <v>79</v>
      </c>
      <c r="S72" s="126" t="s">
        <v>29</v>
      </c>
      <c r="T72" s="126" t="s">
        <v>29</v>
      </c>
      <c r="U72" s="115" t="s">
        <v>71</v>
      </c>
      <c r="V72" s="126" t="s">
        <v>29</v>
      </c>
      <c r="W72" s="110" t="s">
        <v>79</v>
      </c>
      <c r="X72" s="119" t="s">
        <v>29</v>
      </c>
      <c r="Y72" s="130" t="s">
        <v>29</v>
      </c>
      <c r="Z72" s="119" t="s">
        <v>29</v>
      </c>
      <c r="AA72" s="119" t="s">
        <v>29</v>
      </c>
      <c r="AB72" s="119" t="s">
        <v>29</v>
      </c>
      <c r="AC72" s="115" t="s">
        <v>80</v>
      </c>
      <c r="AD72" s="116" t="s">
        <v>29</v>
      </c>
      <c r="AE72" s="130" t="s">
        <v>29</v>
      </c>
      <c r="AF72" s="113" t="s">
        <v>79</v>
      </c>
      <c r="AG72" s="113" t="s">
        <v>79</v>
      </c>
      <c r="AH72" s="116" t="s">
        <v>29</v>
      </c>
      <c r="AI72" s="116" t="s">
        <v>29</v>
      </c>
      <c r="AJ72" s="116">
        <v>259</v>
      </c>
      <c r="AK72" s="116" t="s">
        <v>29</v>
      </c>
      <c r="AL72" s="116" t="s">
        <v>29</v>
      </c>
      <c r="AM72" s="77">
        <v>98.6</v>
      </c>
      <c r="AN72" s="116" t="s">
        <v>29</v>
      </c>
      <c r="AO72" s="116" t="s">
        <v>29</v>
      </c>
      <c r="AP72" s="116" t="s">
        <v>29</v>
      </c>
      <c r="AQ72" s="116" t="s">
        <v>29</v>
      </c>
      <c r="AR72" s="116" t="s">
        <v>29</v>
      </c>
      <c r="AS72" s="116" t="s">
        <v>29</v>
      </c>
      <c r="AT72" s="116" t="s">
        <v>29</v>
      </c>
      <c r="AU72" s="116" t="s">
        <v>29</v>
      </c>
      <c r="AV72" s="116" t="s">
        <v>29</v>
      </c>
      <c r="AW72" s="116">
        <v>98.6</v>
      </c>
      <c r="AX72" s="116" t="s">
        <v>29</v>
      </c>
      <c r="AY72" s="116" t="s">
        <v>29</v>
      </c>
      <c r="AZ72" s="77">
        <f t="shared" si="72"/>
        <v>98.6</v>
      </c>
      <c r="BA72" s="220">
        <v>0</v>
      </c>
      <c r="BB72" s="111">
        <v>1</v>
      </c>
      <c r="BC72" s="220">
        <v>0</v>
      </c>
      <c r="BD72" s="220">
        <v>0</v>
      </c>
      <c r="BE72" s="113">
        <v>23.562</v>
      </c>
      <c r="BF72" s="220">
        <v>0</v>
      </c>
      <c r="BG72" s="77">
        <v>183.25</v>
      </c>
      <c r="BH72" s="77">
        <v>106.15</v>
      </c>
      <c r="BI72" s="113" t="s">
        <v>29</v>
      </c>
      <c r="BJ72" s="113" t="s">
        <v>29</v>
      </c>
      <c r="BK72" s="113" t="s">
        <v>29</v>
      </c>
      <c r="BL72" s="113" t="s">
        <v>29</v>
      </c>
      <c r="BM72" s="113" t="s">
        <v>29</v>
      </c>
      <c r="BN72" s="113" t="s">
        <v>29</v>
      </c>
      <c r="BO72" s="113" t="s">
        <v>29</v>
      </c>
      <c r="BP72" s="113" t="s">
        <v>29</v>
      </c>
      <c r="BQ72" s="113" t="s">
        <v>29</v>
      </c>
      <c r="BR72" s="113" t="s">
        <v>29</v>
      </c>
      <c r="BS72" s="113" t="s">
        <v>29</v>
      </c>
      <c r="BT72" s="113" t="s">
        <v>29</v>
      </c>
      <c r="BU72" s="113" t="s">
        <v>29</v>
      </c>
      <c r="BV72" s="113" t="s">
        <v>29</v>
      </c>
      <c r="BW72" s="113" t="s">
        <v>29</v>
      </c>
      <c r="BX72" s="113" t="s">
        <v>29</v>
      </c>
      <c r="BY72" s="113" t="s">
        <v>29</v>
      </c>
      <c r="BZ72" s="113" t="s">
        <v>29</v>
      </c>
      <c r="CA72" s="113" t="s">
        <v>29</v>
      </c>
      <c r="CB72" s="113" t="s">
        <v>29</v>
      </c>
      <c r="CC72" s="113" t="s">
        <v>29</v>
      </c>
      <c r="CD72" s="113" t="s">
        <v>29</v>
      </c>
      <c r="CE72" s="113" t="s">
        <v>29</v>
      </c>
      <c r="CF72" s="113" t="s">
        <v>29</v>
      </c>
      <c r="CG72" s="113" t="s">
        <v>29</v>
      </c>
      <c r="CH72" s="113" t="s">
        <v>29</v>
      </c>
      <c r="CI72" s="113" t="s">
        <v>29</v>
      </c>
      <c r="CJ72" s="113" t="s">
        <v>29</v>
      </c>
      <c r="CK72" s="113" t="s">
        <v>29</v>
      </c>
      <c r="CL72" s="113" t="s">
        <v>29</v>
      </c>
      <c r="CM72" s="113" t="s">
        <v>29</v>
      </c>
      <c r="CN72" s="113" t="s">
        <v>29</v>
      </c>
      <c r="CO72" s="113" t="s">
        <v>29</v>
      </c>
      <c r="CP72" s="113" t="s">
        <v>29</v>
      </c>
      <c r="CQ72" s="113" t="s">
        <v>29</v>
      </c>
      <c r="CR72" s="113" t="s">
        <v>29</v>
      </c>
      <c r="CS72" s="113" t="s">
        <v>29</v>
      </c>
      <c r="CT72" s="113" t="s">
        <v>29</v>
      </c>
      <c r="CU72" s="107"/>
      <c r="CV72" s="113" t="s">
        <v>29</v>
      </c>
      <c r="CW72" s="113" t="s">
        <v>29</v>
      </c>
      <c r="CX72" s="113" t="s">
        <v>29</v>
      </c>
      <c r="CY72" s="113" t="s">
        <v>29</v>
      </c>
      <c r="CZ72" s="113" t="s">
        <v>29</v>
      </c>
      <c r="DA72" s="113" t="s">
        <v>29</v>
      </c>
      <c r="DB72" s="113" t="s">
        <v>29</v>
      </c>
      <c r="DC72" s="113" t="s">
        <v>29</v>
      </c>
      <c r="DD72" s="113" t="s">
        <v>29</v>
      </c>
      <c r="DE72" s="113" t="s">
        <v>29</v>
      </c>
      <c r="DF72" s="113" t="s">
        <v>29</v>
      </c>
      <c r="DG72" s="113" t="s">
        <v>29</v>
      </c>
      <c r="DH72" s="113" t="s">
        <v>29</v>
      </c>
      <c r="DI72" s="113" t="s">
        <v>29</v>
      </c>
      <c r="DJ72" s="220">
        <v>0</v>
      </c>
      <c r="DK72" s="220">
        <v>0</v>
      </c>
      <c r="DL72" s="220">
        <v>0</v>
      </c>
      <c r="DM72" s="113" t="s">
        <v>29</v>
      </c>
      <c r="DN72" s="113" t="s">
        <v>29</v>
      </c>
      <c r="DO72" s="113" t="s">
        <v>29</v>
      </c>
      <c r="DP72" s="113" t="s">
        <v>29</v>
      </c>
      <c r="DQ72" s="220">
        <v>0</v>
      </c>
      <c r="DR72" s="208">
        <v>0</v>
      </c>
      <c r="DS72" s="220">
        <v>0</v>
      </c>
      <c r="DT72" s="208">
        <v>23.562</v>
      </c>
      <c r="DU72" s="108">
        <f>SUM(DI72:DT72)</f>
        <v>23.562</v>
      </c>
      <c r="DV72" s="220">
        <v>0</v>
      </c>
      <c r="DW72" s="220">
        <v>0</v>
      </c>
      <c r="DX72" s="220">
        <v>0</v>
      </c>
      <c r="DY72" s="220">
        <v>0</v>
      </c>
      <c r="DZ72" s="220">
        <v>0</v>
      </c>
      <c r="EA72" s="220">
        <v>0</v>
      </c>
      <c r="EB72" s="220">
        <v>0</v>
      </c>
      <c r="EC72" s="220">
        <v>0</v>
      </c>
      <c r="ED72" s="220">
        <v>0</v>
      </c>
      <c r="EE72" s="220">
        <v>0</v>
      </c>
      <c r="EF72" s="220">
        <v>0</v>
      </c>
      <c r="EG72" s="220">
        <v>0</v>
      </c>
      <c r="EH72" s="220">
        <v>0</v>
      </c>
      <c r="EI72" s="220">
        <v>0</v>
      </c>
      <c r="EJ72" s="220">
        <v>0</v>
      </c>
      <c r="EK72" s="108">
        <v>25</v>
      </c>
      <c r="EL72" s="108">
        <v>61.8</v>
      </c>
      <c r="EM72" s="220">
        <v>0</v>
      </c>
      <c r="EN72" s="108">
        <v>48.3</v>
      </c>
      <c r="EO72" s="108">
        <v>23.6</v>
      </c>
      <c r="EP72" s="108">
        <v>24.55</v>
      </c>
      <c r="EQ72" s="220">
        <v>0</v>
      </c>
      <c r="ER72" s="220">
        <v>0</v>
      </c>
      <c r="ES72" s="248">
        <v>0</v>
      </c>
      <c r="ET72" s="248">
        <v>0</v>
      </c>
      <c r="EU72" s="108">
        <f>SUM(EI72:ET72)</f>
        <v>183.25</v>
      </c>
      <c r="EV72" s="248">
        <v>0</v>
      </c>
      <c r="EW72" s="108">
        <v>35.9</v>
      </c>
      <c r="EX72" s="108">
        <v>42.1</v>
      </c>
      <c r="EY72" s="108">
        <v>8.15</v>
      </c>
      <c r="EZ72" s="108">
        <v>20</v>
      </c>
      <c r="FA72" s="248">
        <v>0</v>
      </c>
      <c r="FB72" s="248">
        <v>0</v>
      </c>
      <c r="FC72" s="248">
        <v>0</v>
      </c>
      <c r="FD72" s="248">
        <v>0</v>
      </c>
      <c r="FE72" s="248">
        <v>0</v>
      </c>
      <c r="FF72" s="248">
        <v>0</v>
      </c>
      <c r="FG72" s="248">
        <v>0</v>
      </c>
      <c r="FH72" s="108">
        <f>SUM(EV72:FB72)</f>
        <v>106.15</v>
      </c>
      <c r="FI72" s="248">
        <v>0</v>
      </c>
      <c r="FJ72" s="248">
        <v>0</v>
      </c>
      <c r="FK72" s="248">
        <v>0</v>
      </c>
      <c r="FL72" s="248">
        <v>0</v>
      </c>
      <c r="FM72" s="248">
        <v>0</v>
      </c>
      <c r="FN72" s="248">
        <v>0</v>
      </c>
      <c r="FO72" s="248">
        <v>0</v>
      </c>
      <c r="FP72" s="108">
        <f>SUM(FI72:FO72)</f>
        <v>0</v>
      </c>
      <c r="FQ72" s="15"/>
      <c r="FR72" s="15"/>
      <c r="FS72" s="14"/>
      <c r="FT72" s="14"/>
      <c r="FU72" s="14"/>
      <c r="FV72" s="13"/>
      <c r="FW72" s="12"/>
      <c r="FX72" s="14"/>
    </row>
    <row r="73" spans="1:180" ht="15.75">
      <c r="A73" s="28"/>
      <c r="B73" s="41"/>
      <c r="C73" s="41"/>
      <c r="D73" s="41"/>
      <c r="E73" s="41"/>
      <c r="F73" s="90"/>
      <c r="G73" s="90"/>
      <c r="H73" s="90"/>
      <c r="I73" s="90"/>
      <c r="J73" s="90"/>
      <c r="K73" s="90"/>
      <c r="L73" s="90"/>
      <c r="M73" s="125" t="s">
        <v>27</v>
      </c>
      <c r="N73" s="110" t="s">
        <v>27</v>
      </c>
      <c r="O73" s="109" t="s">
        <v>27</v>
      </c>
      <c r="P73" s="105"/>
      <c r="Q73" s="104"/>
      <c r="R73" s="105"/>
      <c r="S73" s="104"/>
      <c r="T73" s="104"/>
      <c r="U73" s="104"/>
      <c r="V73" s="104"/>
      <c r="W73" s="104"/>
      <c r="X73" s="104"/>
      <c r="Y73" s="106"/>
      <c r="Z73" s="119"/>
      <c r="AA73" s="119"/>
      <c r="AB73" s="116"/>
      <c r="AC73" s="107"/>
      <c r="AD73" s="77"/>
      <c r="AE73" s="106"/>
      <c r="AF73" s="105"/>
      <c r="AG73" s="105"/>
      <c r="AH73" s="106"/>
      <c r="AI73" s="106"/>
      <c r="AJ73" s="106"/>
      <c r="AK73" s="106"/>
      <c r="AL73" s="106"/>
      <c r="AM73" s="77"/>
      <c r="AN73" s="116"/>
      <c r="AO73" s="77"/>
      <c r="AP73" s="77"/>
      <c r="AQ73" s="126"/>
      <c r="AR73" s="113"/>
      <c r="AS73" s="116"/>
      <c r="AT73" s="116"/>
      <c r="AU73" s="77"/>
      <c r="AV73" s="116"/>
      <c r="AW73" s="116"/>
      <c r="AX73" s="77"/>
      <c r="AY73" s="116"/>
      <c r="AZ73" s="77"/>
      <c r="BA73" s="77"/>
      <c r="BB73" s="111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33"/>
      <c r="CO73" s="113"/>
      <c r="CP73" s="113"/>
      <c r="CQ73" s="113"/>
      <c r="CR73" s="113"/>
      <c r="CS73" s="113"/>
      <c r="CT73" s="113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3"/>
      <c r="FR73" s="13"/>
      <c r="FS73" s="14"/>
      <c r="FT73" s="13"/>
      <c r="FU73" s="14"/>
      <c r="FV73" s="13"/>
      <c r="FW73" s="15"/>
      <c r="FX73" s="15"/>
    </row>
    <row r="74" spans="1:180" ht="15.75" hidden="1">
      <c r="A74" s="164" t="s">
        <v>72</v>
      </c>
      <c r="B74" s="90">
        <v>395</v>
      </c>
      <c r="C74" s="90">
        <v>388</v>
      </c>
      <c r="D74" s="90">
        <v>643</v>
      </c>
      <c r="E74" s="90">
        <v>741</v>
      </c>
      <c r="F74" s="90">
        <v>687</v>
      </c>
      <c r="G74" s="90">
        <v>1052</v>
      </c>
      <c r="H74" s="90">
        <v>1182</v>
      </c>
      <c r="I74" s="90">
        <v>272</v>
      </c>
      <c r="J74" s="90">
        <v>10</v>
      </c>
      <c r="K74" s="118" t="s">
        <v>29</v>
      </c>
      <c r="L74" s="90">
        <v>108</v>
      </c>
      <c r="M74" s="90">
        <v>90</v>
      </c>
      <c r="N74" s="110" t="s">
        <v>79</v>
      </c>
      <c r="O74" s="113" t="s">
        <v>79</v>
      </c>
      <c r="P74" s="113" t="s">
        <v>79</v>
      </c>
      <c r="Q74" s="113" t="s">
        <v>79</v>
      </c>
      <c r="R74" s="113" t="s">
        <v>79</v>
      </c>
      <c r="S74" s="126" t="s">
        <v>29</v>
      </c>
      <c r="T74" s="126" t="s">
        <v>29</v>
      </c>
      <c r="U74" s="115" t="s">
        <v>71</v>
      </c>
      <c r="V74" s="126" t="s">
        <v>29</v>
      </c>
      <c r="W74" s="110" t="s">
        <v>79</v>
      </c>
      <c r="X74" s="119" t="s">
        <v>29</v>
      </c>
      <c r="Y74" s="130" t="s">
        <v>29</v>
      </c>
      <c r="Z74" s="119" t="s">
        <v>29</v>
      </c>
      <c r="AA74" s="119" t="s">
        <v>29</v>
      </c>
      <c r="AB74" s="119" t="s">
        <v>29</v>
      </c>
      <c r="AC74" s="115" t="s">
        <v>80</v>
      </c>
      <c r="AD74" s="116" t="s">
        <v>29</v>
      </c>
      <c r="AE74" s="130" t="s">
        <v>29</v>
      </c>
      <c r="AF74" s="116">
        <v>20</v>
      </c>
      <c r="AG74" s="113" t="s">
        <v>79</v>
      </c>
      <c r="AH74" s="117">
        <v>20</v>
      </c>
      <c r="AI74" s="117">
        <v>132</v>
      </c>
      <c r="AJ74" s="117" t="s">
        <v>29</v>
      </c>
      <c r="AK74" s="116" t="s">
        <v>29</v>
      </c>
      <c r="AL74" s="116" t="s">
        <v>29</v>
      </c>
      <c r="AM74" s="116" t="s">
        <v>29</v>
      </c>
      <c r="AN74" s="116" t="s">
        <v>29</v>
      </c>
      <c r="AO74" s="116" t="s">
        <v>29</v>
      </c>
      <c r="AP74" s="116" t="s">
        <v>29</v>
      </c>
      <c r="AQ74" s="116" t="s">
        <v>29</v>
      </c>
      <c r="AR74" s="116" t="s">
        <v>29</v>
      </c>
      <c r="AS74" s="116" t="s">
        <v>29</v>
      </c>
      <c r="AT74" s="116" t="s">
        <v>29</v>
      </c>
      <c r="AU74" s="116" t="s">
        <v>29</v>
      </c>
      <c r="AV74" s="116" t="s">
        <v>29</v>
      </c>
      <c r="AW74" s="116" t="s">
        <v>29</v>
      </c>
      <c r="AX74" s="116" t="s">
        <v>29</v>
      </c>
      <c r="AY74" s="116" t="s">
        <v>29</v>
      </c>
      <c r="AZ74" s="116" t="s">
        <v>29</v>
      </c>
      <c r="BA74" s="116" t="s">
        <v>29</v>
      </c>
      <c r="BB74" s="111"/>
      <c r="BC74" s="113" t="s">
        <v>29</v>
      </c>
      <c r="BD74" s="113"/>
      <c r="BE74" s="113"/>
      <c r="BF74" s="113"/>
      <c r="BG74" s="113">
        <v>0</v>
      </c>
      <c r="BH74" s="113"/>
      <c r="BI74" s="113" t="s">
        <v>29</v>
      </c>
      <c r="BJ74" s="113" t="s">
        <v>29</v>
      </c>
      <c r="BK74" s="113" t="s">
        <v>29</v>
      </c>
      <c r="BL74" s="113" t="s">
        <v>29</v>
      </c>
      <c r="BM74" s="113" t="s">
        <v>29</v>
      </c>
      <c r="BN74" s="113" t="s">
        <v>29</v>
      </c>
      <c r="BO74" s="113" t="s">
        <v>29</v>
      </c>
      <c r="BP74" s="113" t="s">
        <v>29</v>
      </c>
      <c r="BQ74" s="113" t="s">
        <v>29</v>
      </c>
      <c r="BR74" s="113" t="s">
        <v>29</v>
      </c>
      <c r="BS74" s="113" t="s">
        <v>29</v>
      </c>
      <c r="BT74" s="113" t="s">
        <v>29</v>
      </c>
      <c r="BU74" s="113" t="s">
        <v>29</v>
      </c>
      <c r="BV74" s="113" t="s">
        <v>29</v>
      </c>
      <c r="BW74" s="113" t="s">
        <v>29</v>
      </c>
      <c r="BX74" s="113" t="s">
        <v>29</v>
      </c>
      <c r="BY74" s="113" t="s">
        <v>29</v>
      </c>
      <c r="BZ74" s="113" t="s">
        <v>29</v>
      </c>
      <c r="CA74" s="113" t="s">
        <v>29</v>
      </c>
      <c r="CB74" s="113" t="s">
        <v>29</v>
      </c>
      <c r="CC74" s="113" t="s">
        <v>29</v>
      </c>
      <c r="CD74" s="113" t="s">
        <v>29</v>
      </c>
      <c r="CE74" s="113" t="s">
        <v>29</v>
      </c>
      <c r="CF74" s="113" t="s">
        <v>29</v>
      </c>
      <c r="CG74" s="113" t="s">
        <v>29</v>
      </c>
      <c r="CH74" s="113" t="s">
        <v>29</v>
      </c>
      <c r="CI74" s="113" t="s">
        <v>29</v>
      </c>
      <c r="CJ74" s="113" t="s">
        <v>29</v>
      </c>
      <c r="CK74" s="113" t="s">
        <v>29</v>
      </c>
      <c r="CL74" s="113" t="s">
        <v>29</v>
      </c>
      <c r="CM74" s="113" t="s">
        <v>29</v>
      </c>
      <c r="CN74" s="133"/>
      <c r="CO74" s="113"/>
      <c r="CP74" s="113"/>
      <c r="CQ74" s="113"/>
      <c r="CR74" s="113"/>
      <c r="CS74" s="113"/>
      <c r="CT74" s="113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08">
        <f>SUM(EH74:EK74)</f>
        <v>0</v>
      </c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4"/>
      <c r="FR74" s="15"/>
      <c r="FS74" s="14"/>
      <c r="FT74" s="14"/>
      <c r="FU74" s="14"/>
      <c r="FV74" s="14"/>
      <c r="FW74" s="12"/>
      <c r="FX74" s="14"/>
    </row>
    <row r="75" spans="1:180" ht="15.75">
      <c r="A75" s="56"/>
      <c r="B75" s="41"/>
      <c r="C75" s="41"/>
      <c r="D75" s="41"/>
      <c r="E75" s="41"/>
      <c r="F75" s="90"/>
      <c r="G75" s="90"/>
      <c r="H75" s="90"/>
      <c r="I75" s="90"/>
      <c r="J75" s="90"/>
      <c r="K75" s="90"/>
      <c r="L75" s="90"/>
      <c r="M75" s="125" t="s">
        <v>27</v>
      </c>
      <c r="N75" s="110" t="s">
        <v>27</v>
      </c>
      <c r="O75" s="109" t="s">
        <v>27</v>
      </c>
      <c r="P75" s="110" t="s">
        <v>27</v>
      </c>
      <c r="Q75" s="104"/>
      <c r="R75" s="105"/>
      <c r="S75" s="45"/>
      <c r="T75" s="45"/>
      <c r="U75" s="45"/>
      <c r="V75" s="126"/>
      <c r="W75" s="45"/>
      <c r="X75" s="45"/>
      <c r="Y75" s="124"/>
      <c r="Z75" s="116"/>
      <c r="AA75" s="119"/>
      <c r="AB75" s="119"/>
      <c r="AC75" s="107"/>
      <c r="AD75" s="116"/>
      <c r="AE75" s="106"/>
      <c r="AF75" s="105"/>
      <c r="AG75" s="105"/>
      <c r="AH75" s="106"/>
      <c r="AI75" s="106"/>
      <c r="AJ75" s="106"/>
      <c r="AK75" s="106"/>
      <c r="AL75" s="106"/>
      <c r="AM75" s="106"/>
      <c r="AN75" s="116"/>
      <c r="AO75" s="116"/>
      <c r="AP75" s="116"/>
      <c r="AQ75" s="126"/>
      <c r="AR75" s="113"/>
      <c r="AS75" s="77"/>
      <c r="AT75" s="77"/>
      <c r="AU75" s="77"/>
      <c r="AV75" s="116"/>
      <c r="AW75" s="116"/>
      <c r="AX75" s="77"/>
      <c r="AY75" s="105"/>
      <c r="AZ75" s="77"/>
      <c r="BA75" s="77"/>
      <c r="BB75" s="111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33"/>
      <c r="CO75" s="113"/>
      <c r="CP75" s="113"/>
      <c r="CQ75" s="113"/>
      <c r="CR75" s="113"/>
      <c r="CS75" s="113"/>
      <c r="CT75" s="113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3"/>
      <c r="FR75" s="13"/>
      <c r="FS75" s="14"/>
      <c r="FT75" s="13"/>
      <c r="FU75" s="14"/>
      <c r="FV75" s="13"/>
      <c r="FW75" s="12"/>
      <c r="FX75" s="14"/>
    </row>
    <row r="76" spans="1:180" ht="15.75">
      <c r="A76" s="164" t="s">
        <v>73</v>
      </c>
      <c r="B76" s="118" t="s">
        <v>29</v>
      </c>
      <c r="C76" s="90">
        <v>11</v>
      </c>
      <c r="D76" s="90">
        <v>51</v>
      </c>
      <c r="E76" s="90">
        <v>7</v>
      </c>
      <c r="F76" s="90">
        <v>17</v>
      </c>
      <c r="G76" s="118" t="s">
        <v>29</v>
      </c>
      <c r="H76" s="118" t="s">
        <v>29</v>
      </c>
      <c r="I76" s="118" t="s">
        <v>29</v>
      </c>
      <c r="J76" s="90">
        <v>82</v>
      </c>
      <c r="K76" s="90">
        <v>38</v>
      </c>
      <c r="L76" s="90">
        <v>32</v>
      </c>
      <c r="M76" s="90">
        <v>171</v>
      </c>
      <c r="N76" s="110" t="s">
        <v>79</v>
      </c>
      <c r="O76" s="113" t="s">
        <v>79</v>
      </c>
      <c r="P76" s="105">
        <v>23</v>
      </c>
      <c r="Q76" s="105">
        <v>90</v>
      </c>
      <c r="R76" s="105">
        <v>39</v>
      </c>
      <c r="S76" s="126" t="s">
        <v>29</v>
      </c>
      <c r="T76" s="126" t="s">
        <v>29</v>
      </c>
      <c r="U76" s="115" t="s">
        <v>71</v>
      </c>
      <c r="V76" s="126" t="s">
        <v>29</v>
      </c>
      <c r="W76" s="126">
        <v>26</v>
      </c>
      <c r="X76" s="119" t="s">
        <v>29</v>
      </c>
      <c r="Y76" s="130" t="s">
        <v>29</v>
      </c>
      <c r="Z76" s="119" t="s">
        <v>29</v>
      </c>
      <c r="AA76" s="119" t="s">
        <v>29</v>
      </c>
      <c r="AB76" s="119" t="s">
        <v>29</v>
      </c>
      <c r="AC76" s="124">
        <v>13</v>
      </c>
      <c r="AD76" s="116" t="s">
        <v>29</v>
      </c>
      <c r="AE76" s="106">
        <f>SUM(S76:AD76)</f>
        <v>39</v>
      </c>
      <c r="AF76" s="113">
        <v>44</v>
      </c>
      <c r="AG76" s="113">
        <v>67</v>
      </c>
      <c r="AH76" s="117">
        <v>24</v>
      </c>
      <c r="AI76" s="116" t="s">
        <v>29</v>
      </c>
      <c r="AJ76" s="116">
        <v>149</v>
      </c>
      <c r="AK76" s="116">
        <v>44</v>
      </c>
      <c r="AL76" s="116">
        <v>69.05</v>
      </c>
      <c r="AM76" s="116">
        <v>114.65</v>
      </c>
      <c r="AN76" s="116">
        <v>114.65</v>
      </c>
      <c r="AO76" s="116" t="s">
        <v>29</v>
      </c>
      <c r="AP76" s="116" t="s">
        <v>29</v>
      </c>
      <c r="AQ76" s="116" t="s">
        <v>29</v>
      </c>
      <c r="AR76" s="116" t="s">
        <v>29</v>
      </c>
      <c r="AS76" s="116" t="s">
        <v>29</v>
      </c>
      <c r="AT76" s="189" t="s">
        <v>29</v>
      </c>
      <c r="AU76" s="116" t="s">
        <v>29</v>
      </c>
      <c r="AV76" s="116" t="s">
        <v>29</v>
      </c>
      <c r="AW76" s="116" t="s">
        <v>29</v>
      </c>
      <c r="AX76" s="116" t="s">
        <v>29</v>
      </c>
      <c r="AY76" s="116" t="s">
        <v>29</v>
      </c>
      <c r="AZ76" s="77">
        <f t="shared" si="72"/>
        <v>114.65</v>
      </c>
      <c r="BA76" s="77">
        <v>32</v>
      </c>
      <c r="BB76" s="220">
        <v>0</v>
      </c>
      <c r="BC76" s="220">
        <v>0</v>
      </c>
      <c r="BD76" s="220">
        <v>0</v>
      </c>
      <c r="BE76" s="220">
        <v>0</v>
      </c>
      <c r="BF76" s="220">
        <v>0</v>
      </c>
      <c r="BG76" s="220">
        <v>0</v>
      </c>
      <c r="BH76" s="220">
        <v>0</v>
      </c>
      <c r="BI76" s="113" t="s">
        <v>29</v>
      </c>
      <c r="BJ76" s="113" t="s">
        <v>29</v>
      </c>
      <c r="BK76" s="113" t="s">
        <v>29</v>
      </c>
      <c r="BL76" s="113" t="s">
        <v>29</v>
      </c>
      <c r="BM76" s="113" t="s">
        <v>29</v>
      </c>
      <c r="BN76" s="113" t="s">
        <v>29</v>
      </c>
      <c r="BO76" s="113" t="s">
        <v>29</v>
      </c>
      <c r="BP76" s="113" t="s">
        <v>29</v>
      </c>
      <c r="BQ76" s="113" t="s">
        <v>29</v>
      </c>
      <c r="BR76" s="113" t="s">
        <v>29</v>
      </c>
      <c r="BS76" s="113" t="s">
        <v>29</v>
      </c>
      <c r="BT76" s="113" t="s">
        <v>29</v>
      </c>
      <c r="BU76" s="113" t="s">
        <v>29</v>
      </c>
      <c r="BV76" s="113" t="s">
        <v>29</v>
      </c>
      <c r="BW76" s="113" t="s">
        <v>29</v>
      </c>
      <c r="BX76" s="113" t="s">
        <v>29</v>
      </c>
      <c r="BY76" s="113" t="s">
        <v>29</v>
      </c>
      <c r="BZ76" s="113" t="s">
        <v>29</v>
      </c>
      <c r="CA76" s="113" t="s">
        <v>29</v>
      </c>
      <c r="CB76" s="113" t="s">
        <v>29</v>
      </c>
      <c r="CC76" s="113" t="s">
        <v>29</v>
      </c>
      <c r="CD76" s="113" t="s">
        <v>29</v>
      </c>
      <c r="CE76" s="113" t="s">
        <v>29</v>
      </c>
      <c r="CF76" s="113" t="s">
        <v>29</v>
      </c>
      <c r="CG76" s="113" t="s">
        <v>29</v>
      </c>
      <c r="CH76" s="113" t="s">
        <v>29</v>
      </c>
      <c r="CI76" s="113" t="s">
        <v>29</v>
      </c>
      <c r="CJ76" s="113" t="s">
        <v>29</v>
      </c>
      <c r="CK76" s="113" t="s">
        <v>29</v>
      </c>
      <c r="CL76" s="113" t="s">
        <v>29</v>
      </c>
      <c r="CM76" s="113" t="s">
        <v>29</v>
      </c>
      <c r="CN76" s="113" t="s">
        <v>29</v>
      </c>
      <c r="CO76" s="113" t="s">
        <v>29</v>
      </c>
      <c r="CP76" s="113" t="s">
        <v>29</v>
      </c>
      <c r="CQ76" s="113" t="s">
        <v>29</v>
      </c>
      <c r="CR76" s="113" t="s">
        <v>29</v>
      </c>
      <c r="CS76" s="113" t="s">
        <v>29</v>
      </c>
      <c r="CT76" s="113" t="s">
        <v>29</v>
      </c>
      <c r="CU76" s="113"/>
      <c r="CV76" s="113" t="s">
        <v>29</v>
      </c>
      <c r="CW76" s="113" t="s">
        <v>29</v>
      </c>
      <c r="CX76" s="113" t="s">
        <v>29</v>
      </c>
      <c r="CY76" s="113" t="s">
        <v>29</v>
      </c>
      <c r="CZ76" s="113" t="s">
        <v>29</v>
      </c>
      <c r="DA76" s="113" t="s">
        <v>29</v>
      </c>
      <c r="DB76" s="113" t="s">
        <v>29</v>
      </c>
      <c r="DC76" s="113" t="s">
        <v>29</v>
      </c>
      <c r="DD76" s="113" t="s">
        <v>29</v>
      </c>
      <c r="DE76" s="113" t="s">
        <v>29</v>
      </c>
      <c r="DF76" s="113" t="s">
        <v>29</v>
      </c>
      <c r="DG76" s="113" t="s">
        <v>29</v>
      </c>
      <c r="DH76" s="113" t="s">
        <v>29</v>
      </c>
      <c r="DI76" s="113" t="s">
        <v>29</v>
      </c>
      <c r="DJ76" s="220">
        <v>0</v>
      </c>
      <c r="DK76" s="220">
        <v>0</v>
      </c>
      <c r="DL76" s="220">
        <v>0</v>
      </c>
      <c r="DM76" s="113" t="s">
        <v>29</v>
      </c>
      <c r="DN76" s="113" t="s">
        <v>29</v>
      </c>
      <c r="DO76" s="113" t="s">
        <v>29</v>
      </c>
      <c r="DP76" s="113" t="s">
        <v>29</v>
      </c>
      <c r="DQ76" s="220">
        <v>0</v>
      </c>
      <c r="DR76" s="208">
        <v>0</v>
      </c>
      <c r="DS76" s="220">
        <v>0</v>
      </c>
      <c r="DT76" s="208"/>
      <c r="DU76" s="220">
        <v>0</v>
      </c>
      <c r="DV76" s="220">
        <v>0</v>
      </c>
      <c r="DW76" s="220">
        <v>0</v>
      </c>
      <c r="DX76" s="220">
        <v>0</v>
      </c>
      <c r="DY76" s="220">
        <v>0</v>
      </c>
      <c r="DZ76" s="220">
        <v>0</v>
      </c>
      <c r="EA76" s="220">
        <v>0</v>
      </c>
      <c r="EB76" s="220">
        <v>0</v>
      </c>
      <c r="EC76" s="220">
        <v>0</v>
      </c>
      <c r="ED76" s="220">
        <v>0</v>
      </c>
      <c r="EE76" s="220">
        <v>0</v>
      </c>
      <c r="EF76" s="220">
        <v>0</v>
      </c>
      <c r="EG76" s="220">
        <v>0</v>
      </c>
      <c r="EH76" s="220">
        <v>0</v>
      </c>
      <c r="EI76" s="220">
        <v>0</v>
      </c>
      <c r="EJ76" s="220">
        <v>0</v>
      </c>
      <c r="EK76" s="220">
        <v>0</v>
      </c>
      <c r="EL76" s="220">
        <v>0</v>
      </c>
      <c r="EM76" s="220">
        <v>0</v>
      </c>
      <c r="EN76" s="220">
        <v>0</v>
      </c>
      <c r="EO76" s="220">
        <v>0</v>
      </c>
      <c r="EP76" s="248">
        <v>0</v>
      </c>
      <c r="EQ76" s="220">
        <v>0</v>
      </c>
      <c r="ER76" s="220">
        <v>0</v>
      </c>
      <c r="ES76" s="248">
        <v>0</v>
      </c>
      <c r="ET76" s="248">
        <v>0</v>
      </c>
      <c r="EU76" s="248">
        <v>0</v>
      </c>
      <c r="EV76" s="248">
        <v>0</v>
      </c>
      <c r="EW76" s="248">
        <v>0</v>
      </c>
      <c r="EX76" s="248">
        <v>0</v>
      </c>
      <c r="EY76" s="248"/>
      <c r="EZ76" s="248">
        <v>0</v>
      </c>
      <c r="FA76" s="248">
        <v>0</v>
      </c>
      <c r="FB76" s="248">
        <v>0</v>
      </c>
      <c r="FC76" s="248">
        <v>0</v>
      </c>
      <c r="FD76" s="248">
        <v>0</v>
      </c>
      <c r="FE76" s="248">
        <v>0</v>
      </c>
      <c r="FF76" s="248">
        <v>0</v>
      </c>
      <c r="FG76" s="248">
        <v>0</v>
      </c>
      <c r="FH76" s="248">
        <v>0</v>
      </c>
      <c r="FI76" s="208">
        <f>SUM(EU76:EV76)</f>
        <v>0</v>
      </c>
      <c r="FJ76" s="208">
        <f>SUM(EV76:EW76)</f>
        <v>0</v>
      </c>
      <c r="FK76" s="208">
        <f>SUM(EW76:EX76)</f>
        <v>0</v>
      </c>
      <c r="FL76" s="208">
        <f>SUM(EX76:EY76)</f>
        <v>0</v>
      </c>
      <c r="FM76" s="248">
        <v>0</v>
      </c>
      <c r="FN76" s="248">
        <v>0</v>
      </c>
      <c r="FO76" s="248">
        <v>0</v>
      </c>
      <c r="FP76" s="208">
        <f>SUM(EV76:EW76)</f>
        <v>0</v>
      </c>
      <c r="FQ76" s="14"/>
      <c r="FR76" s="13"/>
      <c r="FS76" s="13"/>
      <c r="FT76" s="13"/>
      <c r="FU76" s="14"/>
      <c r="FV76" s="13"/>
      <c r="FW76" s="12"/>
      <c r="FX76" s="14"/>
    </row>
    <row r="77" spans="1:180" ht="15.75">
      <c r="A77" s="56"/>
      <c r="B77" s="41"/>
      <c r="C77" s="41"/>
      <c r="D77" s="41"/>
      <c r="E77" s="41"/>
      <c r="F77" s="90"/>
      <c r="G77" s="90"/>
      <c r="H77" s="90"/>
      <c r="I77" s="90"/>
      <c r="J77" s="90"/>
      <c r="K77" s="90"/>
      <c r="L77" s="90"/>
      <c r="M77" s="125"/>
      <c r="N77" s="110"/>
      <c r="O77" s="109"/>
      <c r="P77" s="110"/>
      <c r="Q77" s="104"/>
      <c r="R77" s="105"/>
      <c r="S77" s="45"/>
      <c r="T77" s="45"/>
      <c r="U77" s="45"/>
      <c r="V77" s="45"/>
      <c r="W77" s="45"/>
      <c r="X77" s="126"/>
      <c r="Y77" s="107"/>
      <c r="Z77" s="77"/>
      <c r="AA77" s="45"/>
      <c r="AB77" s="126"/>
      <c r="AC77" s="107"/>
      <c r="AD77" s="77"/>
      <c r="AE77" s="106"/>
      <c r="AF77" s="105"/>
      <c r="AG77" s="105"/>
      <c r="AH77" s="106"/>
      <c r="AI77" s="106"/>
      <c r="AJ77" s="106"/>
      <c r="AK77" s="106"/>
      <c r="AL77" s="106"/>
      <c r="AM77" s="106"/>
      <c r="AN77" s="113"/>
      <c r="AO77" s="77"/>
      <c r="AP77" s="107"/>
      <c r="AQ77" s="77"/>
      <c r="AR77" s="113"/>
      <c r="AS77" s="77"/>
      <c r="AT77" s="77"/>
      <c r="AU77" s="77"/>
      <c r="AV77" s="116"/>
      <c r="AW77" s="77"/>
      <c r="AX77" s="77"/>
      <c r="AY77" s="105"/>
      <c r="AZ77" s="77"/>
      <c r="BA77" s="77"/>
      <c r="BB77" s="77"/>
      <c r="BC77" s="77"/>
      <c r="BD77" s="77"/>
      <c r="BE77" s="77"/>
      <c r="BF77" s="77"/>
      <c r="BG77" s="77"/>
      <c r="BH77" s="77"/>
      <c r="BI77" s="113"/>
      <c r="BJ77" s="107"/>
      <c r="BK77" s="77"/>
      <c r="BL77" s="77"/>
      <c r="BM77" s="113"/>
      <c r="BN77" s="77"/>
      <c r="BO77" s="77"/>
      <c r="BP77" s="77"/>
      <c r="BQ77" s="116"/>
      <c r="BR77" s="77"/>
      <c r="BS77" s="77"/>
      <c r="BT77" s="116"/>
      <c r="BU77" s="107"/>
      <c r="BV77" s="77"/>
      <c r="BW77" s="77"/>
      <c r="BX77" s="107"/>
      <c r="BY77" s="107"/>
      <c r="BZ77" s="107"/>
      <c r="CA77" s="116"/>
      <c r="CB77" s="124"/>
      <c r="CC77" s="124"/>
      <c r="CD77" s="124"/>
      <c r="CE77" s="124"/>
      <c r="CF77" s="124"/>
      <c r="CG77" s="124"/>
      <c r="CH77" s="107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33"/>
      <c r="CU77" s="190"/>
      <c r="CV77" s="108"/>
      <c r="CW77" s="190"/>
      <c r="CX77" s="190"/>
      <c r="CY77" s="190"/>
      <c r="CZ77" s="190"/>
      <c r="DA77" s="205"/>
      <c r="DB77" s="205"/>
      <c r="DC77" s="205"/>
      <c r="DD77" s="205"/>
      <c r="DE77" s="205"/>
      <c r="DF77" s="205"/>
      <c r="DG77" s="205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3"/>
      <c r="FR77" s="13"/>
      <c r="FS77" s="13"/>
      <c r="FT77" s="13"/>
      <c r="FU77" s="14"/>
      <c r="FV77" s="13"/>
      <c r="FW77" s="12"/>
      <c r="FX77" s="14"/>
    </row>
    <row r="78" spans="1:180" ht="15.75" hidden="1">
      <c r="A78" s="164" t="s">
        <v>74</v>
      </c>
      <c r="B78" s="90">
        <v>174</v>
      </c>
      <c r="C78" s="90">
        <v>80</v>
      </c>
      <c r="D78" s="90">
        <v>23</v>
      </c>
      <c r="E78" s="90">
        <v>8</v>
      </c>
      <c r="F78" s="90">
        <v>169</v>
      </c>
      <c r="G78" s="90">
        <v>56</v>
      </c>
      <c r="H78" s="90">
        <v>30</v>
      </c>
      <c r="I78" s="90">
        <v>2</v>
      </c>
      <c r="J78" s="118" t="s">
        <v>29</v>
      </c>
      <c r="K78" s="118" t="s">
        <v>29</v>
      </c>
      <c r="L78" s="118" t="s">
        <v>29</v>
      </c>
      <c r="M78" s="90">
        <v>10</v>
      </c>
      <c r="N78" s="113" t="s">
        <v>29</v>
      </c>
      <c r="O78" s="114" t="s">
        <v>29</v>
      </c>
      <c r="P78" s="113" t="s">
        <v>29</v>
      </c>
      <c r="Q78" s="114" t="s">
        <v>29</v>
      </c>
      <c r="R78" s="113" t="s">
        <v>29</v>
      </c>
      <c r="S78" s="126" t="s">
        <v>29</v>
      </c>
      <c r="T78" s="126" t="s">
        <v>29</v>
      </c>
      <c r="U78" s="126" t="s">
        <v>29</v>
      </c>
      <c r="V78" s="126" t="s">
        <v>29</v>
      </c>
      <c r="W78" s="126" t="s">
        <v>29</v>
      </c>
      <c r="X78" s="126" t="s">
        <v>29</v>
      </c>
      <c r="Y78" s="124" t="s">
        <v>29</v>
      </c>
      <c r="Z78" s="116" t="s">
        <v>29</v>
      </c>
      <c r="AA78" s="126"/>
      <c r="AB78" s="126" t="s">
        <v>29</v>
      </c>
      <c r="AC78" s="124" t="s">
        <v>29</v>
      </c>
      <c r="AD78" s="116" t="s">
        <v>29</v>
      </c>
      <c r="AE78" s="106">
        <f>SUM(S78:AC78)</f>
        <v>0</v>
      </c>
      <c r="AF78" s="105"/>
      <c r="AG78" s="105"/>
      <c r="AH78" s="106"/>
      <c r="AI78" s="106"/>
      <c r="AJ78" s="106"/>
      <c r="AK78" s="106"/>
      <c r="AL78" s="106"/>
      <c r="AM78" s="106">
        <v>0</v>
      </c>
      <c r="AN78" s="113"/>
      <c r="AO78" s="77"/>
      <c r="AP78" s="107"/>
      <c r="AQ78" s="77"/>
      <c r="AR78" s="113"/>
      <c r="AS78" s="77"/>
      <c r="AT78" s="77"/>
      <c r="AU78" s="77"/>
      <c r="AV78" s="116"/>
      <c r="AW78" s="77"/>
      <c r="AX78" s="77"/>
      <c r="AY78" s="105"/>
      <c r="AZ78" s="77">
        <f t="shared" si="72"/>
        <v>0</v>
      </c>
      <c r="BA78" s="77">
        <v>0</v>
      </c>
      <c r="BB78" s="77">
        <v>0</v>
      </c>
      <c r="BC78" s="77"/>
      <c r="BD78" s="77"/>
      <c r="BE78" s="77"/>
      <c r="BF78" s="77"/>
      <c r="BG78" s="77">
        <v>0</v>
      </c>
      <c r="BH78" s="77"/>
      <c r="BI78" s="113"/>
      <c r="BJ78" s="107"/>
      <c r="BK78" s="77"/>
      <c r="BL78" s="77"/>
      <c r="BM78" s="113"/>
      <c r="BN78" s="77"/>
      <c r="BO78" s="77"/>
      <c r="BP78" s="77"/>
      <c r="BQ78" s="116"/>
      <c r="BR78" s="77"/>
      <c r="BS78" s="77"/>
      <c r="BT78" s="105"/>
      <c r="BU78" s="107">
        <f>SUM(BI78:BR78)</f>
        <v>0</v>
      </c>
      <c r="BV78" s="77"/>
      <c r="BW78" s="77"/>
      <c r="BX78" s="107"/>
      <c r="BY78" s="107">
        <f>BV78+BW78</f>
        <v>0</v>
      </c>
      <c r="BZ78" s="107"/>
      <c r="CA78" s="116" t="s">
        <v>29</v>
      </c>
      <c r="CB78" s="124"/>
      <c r="CC78" s="124"/>
      <c r="CD78" s="124"/>
      <c r="CE78" s="124"/>
      <c r="CF78" s="124"/>
      <c r="CG78" s="124"/>
      <c r="CH78" s="107">
        <f>SUM(BV78:BW78)</f>
        <v>0</v>
      </c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11"/>
      <c r="CU78" s="135"/>
      <c r="CV78" s="108"/>
      <c r="CW78" s="135"/>
      <c r="CX78" s="135"/>
      <c r="CY78" s="135"/>
      <c r="CZ78" s="135"/>
      <c r="DA78" s="136"/>
      <c r="DB78" s="136"/>
      <c r="DC78" s="136"/>
      <c r="DD78" s="136"/>
      <c r="DE78" s="136"/>
      <c r="DF78" s="136"/>
      <c r="DG78" s="136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>
        <f>SUM(DV78:DY78)</f>
        <v>0</v>
      </c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>
        <f>SUM(EH78:EK78)</f>
        <v>0</v>
      </c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3"/>
      <c r="FR78" s="13"/>
      <c r="FS78" s="13"/>
      <c r="FT78" s="13"/>
      <c r="FU78" s="14"/>
      <c r="FV78" s="13"/>
      <c r="FW78" s="12"/>
      <c r="FX78" s="14"/>
    </row>
    <row r="79" spans="1:180" ht="15.75">
      <c r="A79" s="56"/>
      <c r="B79" s="41"/>
      <c r="C79" s="41"/>
      <c r="D79" s="41"/>
      <c r="E79" s="41"/>
      <c r="F79" s="90"/>
      <c r="G79" s="90"/>
      <c r="H79" s="90"/>
      <c r="I79" s="90"/>
      <c r="J79" s="90"/>
      <c r="K79" s="90"/>
      <c r="L79" s="90"/>
      <c r="M79" s="125" t="s">
        <v>27</v>
      </c>
      <c r="N79" s="110" t="s">
        <v>27</v>
      </c>
      <c r="O79" s="109" t="s">
        <v>27</v>
      </c>
      <c r="P79" s="110" t="s">
        <v>27</v>
      </c>
      <c r="Q79" s="104"/>
      <c r="R79" s="105"/>
      <c r="S79" s="45"/>
      <c r="T79" s="45"/>
      <c r="U79" s="45"/>
      <c r="V79" s="45"/>
      <c r="W79" s="45"/>
      <c r="X79" s="126"/>
      <c r="Y79" s="107"/>
      <c r="Z79" s="77"/>
      <c r="AA79" s="77"/>
      <c r="AB79" s="77"/>
      <c r="AC79" s="107"/>
      <c r="AD79" s="77"/>
      <c r="AE79" s="106"/>
      <c r="AF79" s="105"/>
      <c r="AG79" s="105"/>
      <c r="AH79" s="106"/>
      <c r="AI79" s="106"/>
      <c r="AJ79" s="106"/>
      <c r="AK79" s="106"/>
      <c r="AL79" s="106"/>
      <c r="AM79" s="106"/>
      <c r="AN79" s="113"/>
      <c r="AO79" s="77"/>
      <c r="AP79" s="77"/>
      <c r="AQ79" s="107"/>
      <c r="AR79" s="113"/>
      <c r="AS79" s="77"/>
      <c r="AT79" s="77"/>
      <c r="AU79" s="77"/>
      <c r="AV79" s="77"/>
      <c r="AW79" s="77"/>
      <c r="AX79" s="77"/>
      <c r="AY79" s="105"/>
      <c r="AZ79" s="77"/>
      <c r="BA79" s="77"/>
      <c r="BB79" s="77"/>
      <c r="BC79" s="77"/>
      <c r="BD79" s="77"/>
      <c r="BE79" s="77"/>
      <c r="BF79" s="77"/>
      <c r="BG79" s="77"/>
      <c r="BH79" s="77"/>
      <c r="BI79" s="113"/>
      <c r="BJ79" s="107"/>
      <c r="BK79" s="77"/>
      <c r="BL79" s="77"/>
      <c r="BM79" s="113"/>
      <c r="BN79" s="77"/>
      <c r="BO79" s="77"/>
      <c r="BP79" s="77"/>
      <c r="BQ79" s="77"/>
      <c r="BR79" s="77"/>
      <c r="BS79" s="77"/>
      <c r="BT79" s="105"/>
      <c r="BU79" s="107"/>
      <c r="BV79" s="77"/>
      <c r="BW79" s="77"/>
      <c r="BX79" s="107"/>
      <c r="BY79" s="107"/>
      <c r="BZ79" s="107"/>
      <c r="CA79" s="116"/>
      <c r="CB79" s="124"/>
      <c r="CC79" s="124"/>
      <c r="CD79" s="124"/>
      <c r="CE79" s="124"/>
      <c r="CF79" s="124"/>
      <c r="CG79" s="124"/>
      <c r="CH79" s="107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11"/>
      <c r="CU79" s="135"/>
      <c r="CV79" s="108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5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3"/>
      <c r="FR79" s="13"/>
      <c r="FS79" s="13"/>
      <c r="FT79" s="13"/>
      <c r="FU79" s="12"/>
      <c r="FV79" s="14"/>
      <c r="FW79" s="12"/>
      <c r="FX79" s="14"/>
    </row>
    <row r="80" spans="1:180" ht="15.75">
      <c r="A80" s="164" t="s">
        <v>75</v>
      </c>
      <c r="B80" s="90">
        <v>813</v>
      </c>
      <c r="C80" s="90">
        <v>1829</v>
      </c>
      <c r="D80" s="90">
        <v>2364</v>
      </c>
      <c r="E80" s="90">
        <v>806</v>
      </c>
      <c r="F80" s="90">
        <v>2477</v>
      </c>
      <c r="G80" s="90">
        <v>2694</v>
      </c>
      <c r="H80" s="90">
        <v>2805</v>
      </c>
      <c r="I80" s="90">
        <v>3324</v>
      </c>
      <c r="J80" s="90">
        <v>2745</v>
      </c>
      <c r="K80" s="90">
        <v>1778</v>
      </c>
      <c r="L80" s="90">
        <v>2501</v>
      </c>
      <c r="M80" s="90">
        <v>3298</v>
      </c>
      <c r="N80" s="105">
        <v>2425</v>
      </c>
      <c r="O80" s="104">
        <v>5816</v>
      </c>
      <c r="P80" s="105">
        <v>6166</v>
      </c>
      <c r="Q80" s="104">
        <v>3242</v>
      </c>
      <c r="R80" s="105">
        <v>2455</v>
      </c>
      <c r="S80" s="45">
        <v>202</v>
      </c>
      <c r="T80" s="45">
        <f>117+14</f>
        <v>131</v>
      </c>
      <c r="U80" s="45">
        <v>207</v>
      </c>
      <c r="V80" s="45">
        <f>156+26+70</f>
        <v>252</v>
      </c>
      <c r="W80" s="45">
        <f>224+14+67</f>
        <v>305</v>
      </c>
      <c r="X80" s="126">
        <f>167+12</f>
        <v>179</v>
      </c>
      <c r="Y80" s="107">
        <f>124+7</f>
        <v>131</v>
      </c>
      <c r="Z80" s="77">
        <f>254+7</f>
        <v>261</v>
      </c>
      <c r="AA80" s="77">
        <v>200</v>
      </c>
      <c r="AB80" s="77">
        <v>148</v>
      </c>
      <c r="AC80" s="107">
        <v>248</v>
      </c>
      <c r="AD80" s="77">
        <v>191</v>
      </c>
      <c r="AE80" s="106">
        <f>SUM(S80:AD80)</f>
        <v>2455</v>
      </c>
      <c r="AF80" s="105">
        <v>2046</v>
      </c>
      <c r="AG80" s="105">
        <v>2234</v>
      </c>
      <c r="AH80" s="106">
        <v>1920</v>
      </c>
      <c r="AI80" s="106">
        <v>1814</v>
      </c>
      <c r="AJ80" s="116">
        <v>149</v>
      </c>
      <c r="AK80" s="106">
        <v>1998</v>
      </c>
      <c r="AL80" s="106">
        <v>1499.8079999999998</v>
      </c>
      <c r="AM80" s="106">
        <v>777.337</v>
      </c>
      <c r="AN80" s="113">
        <v>32.2</v>
      </c>
      <c r="AO80" s="77">
        <v>29.9</v>
      </c>
      <c r="AP80" s="77">
        <v>46</v>
      </c>
      <c r="AQ80" s="45">
        <v>43.7</v>
      </c>
      <c r="AR80" s="113">
        <v>39.1</v>
      </c>
      <c r="AS80" s="77">
        <v>80.5</v>
      </c>
      <c r="AT80" s="77">
        <v>71.3</v>
      </c>
      <c r="AU80" s="77">
        <v>127.06400000000001</v>
      </c>
      <c r="AV80" s="77">
        <v>85.15</v>
      </c>
      <c r="AW80" s="77">
        <v>91.273</v>
      </c>
      <c r="AX80" s="77">
        <v>62.1</v>
      </c>
      <c r="AY80" s="105">
        <v>69.05</v>
      </c>
      <c r="AZ80" s="77">
        <f t="shared" si="72"/>
        <v>708.287</v>
      </c>
      <c r="BA80" s="77">
        <v>528.37</v>
      </c>
      <c r="BB80" s="77">
        <v>427.79999999999995</v>
      </c>
      <c r="BC80" s="77">
        <v>1302.255</v>
      </c>
      <c r="BD80" s="77">
        <v>2928.6900000000005</v>
      </c>
      <c r="BE80" s="77">
        <v>5422.522</v>
      </c>
      <c r="BF80" s="77">
        <v>7494.131</v>
      </c>
      <c r="BG80" s="77">
        <v>5390.6500000000015</v>
      </c>
      <c r="BH80" s="77">
        <v>5654.78</v>
      </c>
      <c r="BI80" s="113">
        <v>25.3</v>
      </c>
      <c r="BJ80" s="107">
        <v>41.4</v>
      </c>
      <c r="BK80" s="77">
        <v>13.8</v>
      </c>
      <c r="BL80" s="77">
        <v>59.8</v>
      </c>
      <c r="BM80" s="113">
        <f>22.95+75.9</f>
        <v>98.85000000000001</v>
      </c>
      <c r="BN80" s="77">
        <f>22.95+34.5</f>
        <v>57.45</v>
      </c>
      <c r="BO80" s="77">
        <v>16.1</v>
      </c>
      <c r="BP80" s="77">
        <v>64.4</v>
      </c>
      <c r="BQ80" s="77">
        <f>82.8+4.07</f>
        <v>86.87</v>
      </c>
      <c r="BR80" s="77">
        <v>27.6</v>
      </c>
      <c r="BS80" s="77">
        <v>25.3</v>
      </c>
      <c r="BT80" s="105">
        <v>11.5</v>
      </c>
      <c r="BU80" s="107">
        <f>SUM(BI80:BR80)</f>
        <v>491.57000000000005</v>
      </c>
      <c r="BV80" s="77">
        <v>29.9</v>
      </c>
      <c r="BW80" s="77">
        <v>29.9</v>
      </c>
      <c r="BX80" s="107">
        <v>20.7</v>
      </c>
      <c r="BY80" s="107">
        <v>11.5</v>
      </c>
      <c r="BZ80" s="107">
        <v>34.5</v>
      </c>
      <c r="CA80" s="116" t="s">
        <v>29</v>
      </c>
      <c r="CB80" s="124"/>
      <c r="CC80" s="124">
        <v>20.7</v>
      </c>
      <c r="CD80" s="124">
        <v>16.1</v>
      </c>
      <c r="CE80" s="124">
        <v>52.9</v>
      </c>
      <c r="CF80" s="124">
        <v>66.7</v>
      </c>
      <c r="CG80" s="124">
        <v>144.9</v>
      </c>
      <c r="CH80" s="107">
        <f>SUM(BV80:CG80)</f>
        <v>427.79999999999995</v>
      </c>
      <c r="CI80" s="124">
        <v>105.8</v>
      </c>
      <c r="CJ80" s="124">
        <f>135.7+4.5</f>
        <v>140.2</v>
      </c>
      <c r="CK80" s="124">
        <v>115</v>
      </c>
      <c r="CL80" s="107">
        <v>85.1</v>
      </c>
      <c r="CM80" s="107">
        <f>62.1+2.875</f>
        <v>64.975</v>
      </c>
      <c r="CN80" s="107">
        <v>87.4</v>
      </c>
      <c r="CO80" s="107">
        <v>69</v>
      </c>
      <c r="CP80" s="107">
        <v>119.6</v>
      </c>
      <c r="CQ80" s="107">
        <v>117.3</v>
      </c>
      <c r="CR80" s="107">
        <v>135.7</v>
      </c>
      <c r="CS80" s="107">
        <f>161.3+16.38</f>
        <v>177.68</v>
      </c>
      <c r="CT80" s="107">
        <f>80.5+4</f>
        <v>84.5</v>
      </c>
      <c r="CU80" s="107">
        <f>SUM(CI80:CT80)</f>
        <v>1302.255</v>
      </c>
      <c r="CV80" s="108">
        <f>103.5+2.2</f>
        <v>105.7</v>
      </c>
      <c r="CW80" s="107">
        <v>55.2</v>
      </c>
      <c r="CX80" s="107">
        <f>165.6+19.35</f>
        <v>184.95</v>
      </c>
      <c r="CY80" s="107">
        <f>133.4+912.2</f>
        <v>1045.6000000000001</v>
      </c>
      <c r="CZ80" s="107">
        <f>96.6+77.4</f>
        <v>174</v>
      </c>
      <c r="DA80" s="112">
        <v>167.9</v>
      </c>
      <c r="DB80" s="112">
        <f>117.3+42</f>
        <v>159.3</v>
      </c>
      <c r="DC80" s="112">
        <f>126.5+87</f>
        <v>213.5</v>
      </c>
      <c r="DD80" s="112">
        <f>69+87</f>
        <v>156</v>
      </c>
      <c r="DE80" s="112">
        <f>165.9+1</f>
        <v>166.9</v>
      </c>
      <c r="DF80" s="112">
        <f>115+0.66</f>
        <v>115.66</v>
      </c>
      <c r="DG80" s="112">
        <f>55.2+328.78</f>
        <v>383.97999999999996</v>
      </c>
      <c r="DH80" s="108">
        <f>SUM(CV80:DE80)</f>
        <v>2429.0500000000006</v>
      </c>
      <c r="DI80" s="108">
        <f>59.8+215.76</f>
        <v>275.56</v>
      </c>
      <c r="DJ80" s="108">
        <f>103.8+69</f>
        <v>172.8</v>
      </c>
      <c r="DK80" s="108">
        <f>135.7+436.17</f>
        <v>571.87</v>
      </c>
      <c r="DL80" s="108">
        <f>69+178.1+81.9</f>
        <v>329</v>
      </c>
      <c r="DM80" s="108">
        <f>69+3</f>
        <v>72</v>
      </c>
      <c r="DN80" s="108">
        <f>92+19.6</f>
        <v>111.6</v>
      </c>
      <c r="DO80" s="108">
        <v>245.02</v>
      </c>
      <c r="DP80" s="108">
        <f>128+13.75</f>
        <v>141.75</v>
      </c>
      <c r="DQ80" s="108">
        <f>115+623.65</f>
        <v>738.65</v>
      </c>
      <c r="DR80" s="108">
        <f>135.7+982.522</f>
        <v>1118.222</v>
      </c>
      <c r="DS80" s="108">
        <f>1512.003-DS70</f>
        <v>642.3</v>
      </c>
      <c r="DT80" s="108">
        <f>216.2+258.6+528.95</f>
        <v>1003.75</v>
      </c>
      <c r="DU80" s="108">
        <f>SUM(DI80:DT80)</f>
        <v>5422.522</v>
      </c>
      <c r="DV80" s="108">
        <v>345.356</v>
      </c>
      <c r="DW80" s="108">
        <f>124.2+379.05</f>
        <v>503.25</v>
      </c>
      <c r="DX80" s="108">
        <f>232.3+931.15</f>
        <v>1163.45</v>
      </c>
      <c r="DY80" s="108">
        <f>230+69</f>
        <v>299</v>
      </c>
      <c r="DZ80" s="108">
        <f>119.6+556.175</f>
        <v>675.775</v>
      </c>
      <c r="EA80" s="108">
        <f>186.3+769.15</f>
        <v>955.45</v>
      </c>
      <c r="EB80" s="108">
        <f>174.8+64.4</f>
        <v>239.20000000000002</v>
      </c>
      <c r="EC80" s="108">
        <f>172.5+100.85</f>
        <v>273.35</v>
      </c>
      <c r="ED80" s="108">
        <f>209.3+237.2+193.35</f>
        <v>639.85</v>
      </c>
      <c r="EE80" s="108">
        <f>216.2+390+583.65</f>
        <v>1189.85</v>
      </c>
      <c r="EF80" s="108">
        <f>181.7+509.75</f>
        <v>691.45</v>
      </c>
      <c r="EG80" s="108">
        <f>177.1+341.05</f>
        <v>518.15</v>
      </c>
      <c r="EH80" s="108">
        <f>SUM(DV80:EG80)</f>
        <v>7494.131</v>
      </c>
      <c r="EI80" s="108">
        <f>234.6+182.6</f>
        <v>417.2</v>
      </c>
      <c r="EJ80" s="108">
        <f>331.2+115.2</f>
        <v>446.4</v>
      </c>
      <c r="EK80" s="108">
        <f>368+15.2</f>
        <v>383.2</v>
      </c>
      <c r="EL80" s="108">
        <v>365.84999999999997</v>
      </c>
      <c r="EM80" s="108">
        <f>167.9+219.3</f>
        <v>387.20000000000005</v>
      </c>
      <c r="EN80" s="108">
        <f>193.2+545</f>
        <v>738.2</v>
      </c>
      <c r="EO80" s="108">
        <f>149.5+7.55</f>
        <v>157.05</v>
      </c>
      <c r="EP80" s="108">
        <f>142.6+6.45</f>
        <v>149.04999999999998</v>
      </c>
      <c r="EQ80" s="108">
        <f>179.4+288.35</f>
        <v>467.75</v>
      </c>
      <c r="ER80" s="108">
        <f>165.6+143.7</f>
        <v>309.29999999999995</v>
      </c>
      <c r="ES80" s="108">
        <f>195.5+692.1</f>
        <v>887.6</v>
      </c>
      <c r="ET80" s="108">
        <f>365.7+316.15</f>
        <v>681.8499999999999</v>
      </c>
      <c r="EU80" s="108">
        <f>SUM(EI80:ET80)</f>
        <v>5390.6500000000015</v>
      </c>
      <c r="EV80" s="108">
        <f>163.3+32.4</f>
        <v>195.70000000000002</v>
      </c>
      <c r="EW80" s="108">
        <f>96.6+243.98</f>
        <v>340.58</v>
      </c>
      <c r="EX80" s="108">
        <f>186.3+571.4</f>
        <v>757.7</v>
      </c>
      <c r="EY80" s="108">
        <f>165.6+44.6</f>
        <v>210.2</v>
      </c>
      <c r="EZ80" s="108">
        <f>282.9+129.8</f>
        <v>412.7</v>
      </c>
      <c r="FA80" s="108">
        <f>531.3+66.9</f>
        <v>598.1999999999999</v>
      </c>
      <c r="FB80" s="108">
        <f>328.9+648.4</f>
        <v>977.3</v>
      </c>
      <c r="FC80" s="108">
        <f>239.2+6.5</f>
        <v>245.7</v>
      </c>
      <c r="FD80" s="108">
        <f>227.7+329.65</f>
        <v>557.3499999999999</v>
      </c>
      <c r="FE80" s="108">
        <f>172.5+156.65</f>
        <v>329.15</v>
      </c>
      <c r="FF80" s="108">
        <f>177.1+532.85</f>
        <v>709.95</v>
      </c>
      <c r="FG80" s="108">
        <f>232.3+87.95</f>
        <v>320.25</v>
      </c>
      <c r="FH80" s="108">
        <f>SUM(EV80:FB80)</f>
        <v>3492.38</v>
      </c>
      <c r="FI80" s="108">
        <f>172.5+27.4</f>
        <v>199.9</v>
      </c>
      <c r="FJ80" s="108">
        <f>319.7+188.25</f>
        <v>507.95</v>
      </c>
      <c r="FK80" s="108">
        <v>282.9</v>
      </c>
      <c r="FL80" s="108">
        <f>223.1+15.95</f>
        <v>239.04999999999998</v>
      </c>
      <c r="FM80" s="108">
        <f>262.2+41.75</f>
        <v>303.95</v>
      </c>
      <c r="FN80" s="108">
        <f>335.8+32.05</f>
        <v>367.85</v>
      </c>
      <c r="FO80" s="108">
        <f>264.5+73</f>
        <v>337.5</v>
      </c>
      <c r="FP80" s="108">
        <f>SUM(FI80:FO80)</f>
        <v>2239.1</v>
      </c>
      <c r="FQ80" s="30"/>
      <c r="FR80" s="13"/>
      <c r="FS80" s="12"/>
      <c r="FT80" s="12"/>
      <c r="FU80" s="12"/>
      <c r="FV80" s="13"/>
      <c r="FW80" s="12"/>
      <c r="FX80" s="14"/>
    </row>
    <row r="81" spans="1:180" ht="15.75">
      <c r="A81" s="180"/>
      <c r="B81" s="191"/>
      <c r="C81" s="191"/>
      <c r="D81" s="191"/>
      <c r="E81" s="191"/>
      <c r="F81" s="181"/>
      <c r="G81" s="181"/>
      <c r="H81" s="181"/>
      <c r="I81" s="181"/>
      <c r="J81" s="181"/>
      <c r="K81" s="181"/>
      <c r="L81" s="181"/>
      <c r="M81" s="181"/>
      <c r="N81" s="145"/>
      <c r="O81" s="192"/>
      <c r="P81" s="193"/>
      <c r="Q81" s="192"/>
      <c r="R81" s="193"/>
      <c r="S81" s="192"/>
      <c r="T81" s="192"/>
      <c r="U81" s="165"/>
      <c r="V81" s="192"/>
      <c r="W81" s="192"/>
      <c r="X81" s="192"/>
      <c r="Y81" s="194"/>
      <c r="Z81" s="193"/>
      <c r="AA81" s="193"/>
      <c r="AB81" s="140"/>
      <c r="AC81" s="194"/>
      <c r="AD81" s="193"/>
      <c r="AE81" s="142"/>
      <c r="AF81" s="143"/>
      <c r="AG81" s="143"/>
      <c r="AH81" s="143"/>
      <c r="AI81" s="143"/>
      <c r="AJ81" s="143"/>
      <c r="AK81" s="143"/>
      <c r="AL81" s="143"/>
      <c r="AM81" s="143"/>
      <c r="AN81" s="193"/>
      <c r="AO81" s="145"/>
      <c r="AP81" s="194"/>
      <c r="AQ81" s="193"/>
      <c r="AR81" s="144"/>
      <c r="AS81" s="195"/>
      <c r="AT81" s="193"/>
      <c r="AU81" s="195"/>
      <c r="AV81" s="145"/>
      <c r="AW81" s="193"/>
      <c r="AX81" s="193"/>
      <c r="AY81" s="193"/>
      <c r="AZ81" s="77"/>
      <c r="BA81" s="77"/>
      <c r="BB81" s="148"/>
      <c r="BC81" s="148"/>
      <c r="BD81" s="148"/>
      <c r="BE81" s="148"/>
      <c r="BF81" s="148"/>
      <c r="BG81" s="148"/>
      <c r="BH81" s="148"/>
      <c r="BI81" s="195"/>
      <c r="BJ81" s="141"/>
      <c r="BK81" s="195"/>
      <c r="BL81" s="195"/>
      <c r="BM81" s="144"/>
      <c r="BN81" s="195"/>
      <c r="BO81" s="195"/>
      <c r="BP81" s="195"/>
      <c r="BQ81" s="140"/>
      <c r="BR81" s="195"/>
      <c r="BS81" s="195"/>
      <c r="BT81" s="195"/>
      <c r="BU81" s="148"/>
      <c r="BV81" s="193"/>
      <c r="BW81" s="193"/>
      <c r="BX81" s="195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9"/>
      <c r="CV81" s="150"/>
      <c r="CW81" s="149"/>
      <c r="CX81" s="107"/>
      <c r="CY81" s="107"/>
      <c r="CZ81" s="107"/>
      <c r="DA81" s="112"/>
      <c r="DB81" s="112"/>
      <c r="DC81" s="112"/>
      <c r="DD81" s="112"/>
      <c r="DE81" s="112"/>
      <c r="DF81" s="112"/>
      <c r="DG81" s="112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21"/>
      <c r="FR81" s="21"/>
      <c r="FS81" s="13"/>
      <c r="FT81" s="13"/>
      <c r="FU81" s="12"/>
      <c r="FV81" s="14"/>
      <c r="FW81" s="12"/>
      <c r="FX81" s="14"/>
    </row>
    <row r="82" spans="1:180" ht="15.75">
      <c r="A82" s="57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52"/>
      <c r="O82" s="154"/>
      <c r="P82" s="196" t="s">
        <v>27</v>
      </c>
      <c r="Q82" s="197" t="s">
        <v>27</v>
      </c>
      <c r="R82" s="196"/>
      <c r="S82" s="154"/>
      <c r="T82" s="154"/>
      <c r="U82" s="151"/>
      <c r="V82" s="154"/>
      <c r="W82" s="154"/>
      <c r="X82" s="154"/>
      <c r="Y82" s="157"/>
      <c r="Z82" s="153"/>
      <c r="AA82" s="153"/>
      <c r="AB82" s="152"/>
      <c r="AC82" s="157"/>
      <c r="AD82" s="153"/>
      <c r="AE82" s="198"/>
      <c r="AF82" s="160"/>
      <c r="AG82" s="160"/>
      <c r="AH82" s="198"/>
      <c r="AI82" s="198"/>
      <c r="AJ82" s="198"/>
      <c r="AK82" s="198"/>
      <c r="AL82" s="198"/>
      <c r="AM82" s="198"/>
      <c r="AN82" s="153"/>
      <c r="AO82" s="152"/>
      <c r="AP82" s="157"/>
      <c r="AQ82" s="153"/>
      <c r="AR82" s="159"/>
      <c r="AS82" s="153"/>
      <c r="AT82" s="153"/>
      <c r="AU82" s="153"/>
      <c r="AV82" s="152"/>
      <c r="AW82" s="153"/>
      <c r="AX82" s="153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53"/>
      <c r="BJ82" s="156"/>
      <c r="BK82" s="153"/>
      <c r="BL82" s="153"/>
      <c r="BM82" s="159"/>
      <c r="BN82" s="153"/>
      <c r="BO82" s="153"/>
      <c r="BP82" s="153"/>
      <c r="BQ82" s="152"/>
      <c r="BR82" s="153"/>
      <c r="BS82" s="153"/>
      <c r="BT82" s="161"/>
      <c r="BU82" s="199"/>
      <c r="BV82" s="153"/>
      <c r="BW82" s="153"/>
      <c r="BX82" s="157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57"/>
      <c r="CW82" s="199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26"/>
      <c r="FR82" s="316"/>
      <c r="FS82" s="13"/>
      <c r="FT82" s="13"/>
      <c r="FU82" s="12"/>
      <c r="FV82" s="14"/>
      <c r="FW82" s="21"/>
      <c r="FX82" s="14"/>
    </row>
    <row r="83" spans="1:180" ht="15.75">
      <c r="A83" s="320" t="s">
        <v>76</v>
      </c>
      <c r="B83" s="90">
        <f aca="true" t="shared" si="73" ref="B83:AF83">SUM(B70:B80)</f>
        <v>33211</v>
      </c>
      <c r="C83" s="90">
        <f t="shared" si="73"/>
        <v>36276</v>
      </c>
      <c r="D83" s="90">
        <f t="shared" si="73"/>
        <v>38973</v>
      </c>
      <c r="E83" s="90">
        <f t="shared" si="73"/>
        <v>30622</v>
      </c>
      <c r="F83" s="90">
        <f t="shared" si="73"/>
        <v>38253</v>
      </c>
      <c r="G83" s="90">
        <f t="shared" si="73"/>
        <v>32982</v>
      </c>
      <c r="H83" s="90">
        <f t="shared" si="73"/>
        <v>32520</v>
      </c>
      <c r="I83" s="90">
        <f t="shared" si="73"/>
        <v>35130</v>
      </c>
      <c r="J83" s="90">
        <f t="shared" si="73"/>
        <v>24673</v>
      </c>
      <c r="K83" s="90">
        <f t="shared" si="73"/>
        <v>19426</v>
      </c>
      <c r="L83" s="90">
        <f t="shared" si="73"/>
        <v>20076</v>
      </c>
      <c r="M83" s="90">
        <f t="shared" si="73"/>
        <v>31560</v>
      </c>
      <c r="N83" s="105">
        <f t="shared" si="73"/>
        <v>15984</v>
      </c>
      <c r="O83" s="104">
        <f t="shared" si="73"/>
        <v>28118</v>
      </c>
      <c r="P83" s="105">
        <f t="shared" si="73"/>
        <v>28164</v>
      </c>
      <c r="Q83" s="104">
        <f t="shared" si="73"/>
        <v>28107</v>
      </c>
      <c r="R83" s="105">
        <f t="shared" si="73"/>
        <v>29122</v>
      </c>
      <c r="S83" s="105">
        <f t="shared" si="73"/>
        <v>2320</v>
      </c>
      <c r="T83" s="105">
        <f t="shared" si="73"/>
        <v>3845</v>
      </c>
      <c r="U83" s="105">
        <f t="shared" si="73"/>
        <v>3546</v>
      </c>
      <c r="V83" s="105">
        <f t="shared" si="73"/>
        <v>3235</v>
      </c>
      <c r="W83" s="105">
        <f t="shared" si="73"/>
        <v>2359</v>
      </c>
      <c r="X83" s="105">
        <f t="shared" si="73"/>
        <v>1181</v>
      </c>
      <c r="Y83" s="105">
        <f t="shared" si="73"/>
        <v>1444</v>
      </c>
      <c r="Z83" s="105">
        <f t="shared" si="73"/>
        <v>992</v>
      </c>
      <c r="AA83" s="105">
        <f t="shared" si="73"/>
        <v>2799</v>
      </c>
      <c r="AB83" s="105">
        <f t="shared" si="73"/>
        <v>3296</v>
      </c>
      <c r="AC83" s="105">
        <f t="shared" si="73"/>
        <v>1885</v>
      </c>
      <c r="AD83" s="105">
        <f t="shared" si="73"/>
        <v>2220</v>
      </c>
      <c r="AE83" s="105">
        <f t="shared" si="73"/>
        <v>29122</v>
      </c>
      <c r="AF83" s="105">
        <f t="shared" si="73"/>
        <v>20482</v>
      </c>
      <c r="AG83" s="105">
        <v>19625</v>
      </c>
      <c r="AH83" s="106">
        <v>27076</v>
      </c>
      <c r="AI83" s="106">
        <v>14618</v>
      </c>
      <c r="AJ83" s="106">
        <v>16477</v>
      </c>
      <c r="AK83" s="106">
        <v>10471</v>
      </c>
      <c r="AL83" s="106">
        <v>12559.533</v>
      </c>
      <c r="AM83" s="106">
        <f>SUM(AM70:AM80)</f>
        <v>8524.68</v>
      </c>
      <c r="AN83" s="106">
        <f aca="true" t="shared" si="74" ref="AN83:AY83">SUM(AN70:AN80)</f>
        <v>598.9820000000001</v>
      </c>
      <c r="AO83" s="106">
        <f t="shared" si="74"/>
        <v>785.934</v>
      </c>
      <c r="AP83" s="106">
        <f t="shared" si="74"/>
        <v>385.526</v>
      </c>
      <c r="AQ83" s="106">
        <f t="shared" si="74"/>
        <v>43.7</v>
      </c>
      <c r="AR83" s="106">
        <f t="shared" si="74"/>
        <v>57.400000000000006</v>
      </c>
      <c r="AS83" s="106">
        <f t="shared" si="74"/>
        <v>98.8</v>
      </c>
      <c r="AT83" s="106">
        <f t="shared" si="74"/>
        <v>144.3</v>
      </c>
      <c r="AU83" s="106">
        <f t="shared" si="74"/>
        <v>676.064</v>
      </c>
      <c r="AV83" s="106">
        <f t="shared" si="74"/>
        <v>1839.51</v>
      </c>
      <c r="AW83" s="106">
        <f t="shared" si="74"/>
        <v>819.4540000000001</v>
      </c>
      <c r="AX83" s="106">
        <f t="shared" si="74"/>
        <v>1801.2099999999998</v>
      </c>
      <c r="AY83" s="106">
        <f t="shared" si="74"/>
        <v>1273.8</v>
      </c>
      <c r="AZ83" s="106">
        <f>SUM(AZ70:AZ80)</f>
        <v>7250.88</v>
      </c>
      <c r="BA83" s="106">
        <v>5835.04</v>
      </c>
      <c r="BB83" s="106">
        <v>8724.429</v>
      </c>
      <c r="BC83" s="106">
        <v>9507.100999999999</v>
      </c>
      <c r="BD83" s="106">
        <v>16015.599</v>
      </c>
      <c r="BE83" s="106">
        <v>11072.131999999998</v>
      </c>
      <c r="BF83" s="106">
        <v>13777.436000000002</v>
      </c>
      <c r="BG83" s="106">
        <v>9612.396</v>
      </c>
      <c r="BH83" s="106">
        <v>7898.612999999999</v>
      </c>
      <c r="BI83" s="106">
        <f aca="true" t="shared" si="75" ref="BI83:BT83">SUM(BI70:BI80)</f>
        <v>647.622</v>
      </c>
      <c r="BJ83" s="106">
        <f t="shared" si="75"/>
        <v>1227.8500000000001</v>
      </c>
      <c r="BK83" s="106">
        <f t="shared" si="75"/>
        <v>871.582</v>
      </c>
      <c r="BL83" s="106">
        <f t="shared" si="75"/>
        <v>809.49</v>
      </c>
      <c r="BM83" s="106">
        <f t="shared" si="75"/>
        <v>368.958</v>
      </c>
      <c r="BN83" s="106">
        <f t="shared" si="75"/>
        <v>280.649</v>
      </c>
      <c r="BO83" s="106">
        <f t="shared" si="75"/>
        <v>33.54600000000001</v>
      </c>
      <c r="BP83" s="106">
        <f t="shared" si="75"/>
        <v>512.201</v>
      </c>
      <c r="BQ83" s="106">
        <f t="shared" si="75"/>
        <v>396.445</v>
      </c>
      <c r="BR83" s="106">
        <f t="shared" si="75"/>
        <v>335.65000000000003</v>
      </c>
      <c r="BS83" s="106">
        <f t="shared" si="75"/>
        <v>83.86</v>
      </c>
      <c r="BT83" s="106">
        <f t="shared" si="75"/>
        <v>235.187</v>
      </c>
      <c r="BU83" s="106">
        <f aca="true" t="shared" si="76" ref="BU83:CF83">BU70+BU76+BU80</f>
        <v>5483.993</v>
      </c>
      <c r="BV83" s="106">
        <f t="shared" si="76"/>
        <v>232.654</v>
      </c>
      <c r="BW83" s="106">
        <f t="shared" si="76"/>
        <v>232.654</v>
      </c>
      <c r="BX83" s="106">
        <f t="shared" si="76"/>
        <v>269.58</v>
      </c>
      <c r="BY83" s="106">
        <f t="shared" si="76"/>
        <v>286.549</v>
      </c>
      <c r="BZ83" s="106">
        <f t="shared" si="76"/>
        <v>295.153</v>
      </c>
      <c r="CA83" s="106">
        <f t="shared" si="76"/>
        <v>32.208</v>
      </c>
      <c r="CB83" s="106">
        <f t="shared" si="76"/>
        <v>1112.64</v>
      </c>
      <c r="CC83" s="106">
        <f t="shared" si="76"/>
        <v>1104.06</v>
      </c>
      <c r="CD83" s="106">
        <f t="shared" si="76"/>
        <v>1484.183</v>
      </c>
      <c r="CE83" s="106">
        <f t="shared" si="76"/>
        <v>1340.6200000000001</v>
      </c>
      <c r="CF83" s="106">
        <f t="shared" si="76"/>
        <v>970.1800000000001</v>
      </c>
      <c r="CG83" s="106">
        <f>CG70+CG76+CG80</f>
        <v>1362.948</v>
      </c>
      <c r="CH83" s="106">
        <f>CH70+CH72+CH76+CH80</f>
        <v>8723.429</v>
      </c>
      <c r="CI83" s="106">
        <f aca="true" t="shared" si="77" ref="CI83:CT83">CI70+CI72+CI76+CI80</f>
        <v>422.207</v>
      </c>
      <c r="CJ83" s="106">
        <f t="shared" si="77"/>
        <v>310.9</v>
      </c>
      <c r="CK83" s="106">
        <f t="shared" si="77"/>
        <v>228.277</v>
      </c>
      <c r="CL83" s="106">
        <f t="shared" si="77"/>
        <v>215.72</v>
      </c>
      <c r="CM83" s="106">
        <f t="shared" si="77"/>
        <v>162.575</v>
      </c>
      <c r="CN83" s="106">
        <f t="shared" si="77"/>
        <v>166.822</v>
      </c>
      <c r="CO83" s="106">
        <f t="shared" si="77"/>
        <v>913.24</v>
      </c>
      <c r="CP83" s="106">
        <f t="shared" si="77"/>
        <v>1038.87</v>
      </c>
      <c r="CQ83" s="106">
        <f t="shared" si="77"/>
        <v>2341.36</v>
      </c>
      <c r="CR83" s="106">
        <f t="shared" si="77"/>
        <v>1732.07</v>
      </c>
      <c r="CS83" s="106">
        <f t="shared" si="77"/>
        <v>968.789</v>
      </c>
      <c r="CT83" s="106">
        <f t="shared" si="77"/>
        <v>1006.271</v>
      </c>
      <c r="CU83" s="106">
        <f>CU70+CU72+CU76+CU80</f>
        <v>9507.100999999999</v>
      </c>
      <c r="CV83" s="106">
        <f>CV70+CV72+CV76+CV80</f>
        <v>304.621</v>
      </c>
      <c r="CW83" s="106">
        <f>CW70+CW72+CW76+CW80</f>
        <v>83.80000000000001</v>
      </c>
      <c r="CX83" s="106">
        <f aca="true" t="shared" si="78" ref="CX83:DG83">CX70+CX72+CX76+CX80</f>
        <v>234.97</v>
      </c>
      <c r="CY83" s="106">
        <f t="shared" si="78"/>
        <v>1067.7430000000002</v>
      </c>
      <c r="CZ83" s="106">
        <f t="shared" si="78"/>
        <v>174</v>
      </c>
      <c r="DA83" s="106">
        <f t="shared" si="78"/>
        <v>648.092</v>
      </c>
      <c r="DB83" s="106">
        <f t="shared" si="78"/>
        <v>2342.26</v>
      </c>
      <c r="DC83" s="106">
        <f t="shared" si="78"/>
        <v>2096.5699999999997</v>
      </c>
      <c r="DD83" s="106">
        <f t="shared" si="78"/>
        <v>2686.37</v>
      </c>
      <c r="DE83" s="106">
        <f t="shared" si="78"/>
        <v>2319.525</v>
      </c>
      <c r="DF83" s="106">
        <f t="shared" si="78"/>
        <v>1781.2040000000002</v>
      </c>
      <c r="DG83" s="106">
        <f t="shared" si="78"/>
        <v>2276.444</v>
      </c>
      <c r="DH83" s="106">
        <f>DH70+DH72+DH76+DH80</f>
        <v>11957.951000000001</v>
      </c>
      <c r="DI83" s="106">
        <f aca="true" t="shared" si="79" ref="DI83:DT83">DI70+DI72+DI76+DI80</f>
        <v>1438.737</v>
      </c>
      <c r="DJ83" s="106">
        <f t="shared" si="79"/>
        <v>616.5219999999999</v>
      </c>
      <c r="DK83" s="106">
        <f t="shared" si="79"/>
        <v>657.392</v>
      </c>
      <c r="DL83" s="106">
        <f t="shared" si="79"/>
        <v>434.957</v>
      </c>
      <c r="DM83" s="106">
        <f t="shared" si="79"/>
        <v>73.85</v>
      </c>
      <c r="DN83" s="106">
        <f t="shared" si="79"/>
        <v>111.6</v>
      </c>
      <c r="DO83" s="106">
        <f t="shared" si="79"/>
        <v>245.02</v>
      </c>
      <c r="DP83" s="106">
        <f t="shared" si="79"/>
        <v>451.874</v>
      </c>
      <c r="DQ83" s="106">
        <f t="shared" si="79"/>
        <v>1535.31</v>
      </c>
      <c r="DR83" s="106">
        <f t="shared" si="79"/>
        <v>2366.099</v>
      </c>
      <c r="DS83" s="106">
        <f t="shared" si="79"/>
        <v>1512.003</v>
      </c>
      <c r="DT83" s="106">
        <f t="shared" si="79"/>
        <v>1628.768</v>
      </c>
      <c r="DU83" s="106">
        <f aca="true" t="shared" si="80" ref="DU83:FG83">DU70+DU72+DU76+DU80</f>
        <v>11072.131999999998</v>
      </c>
      <c r="DV83" s="106">
        <f t="shared" si="80"/>
        <v>580.206</v>
      </c>
      <c r="DW83" s="106">
        <f t="shared" si="80"/>
        <v>673.806</v>
      </c>
      <c r="DX83" s="106">
        <f t="shared" si="80"/>
        <v>1368.9450000000002</v>
      </c>
      <c r="DY83" s="106">
        <f t="shared" si="80"/>
        <v>357.255</v>
      </c>
      <c r="DZ83" s="106">
        <f t="shared" si="80"/>
        <v>691.097</v>
      </c>
      <c r="EA83" s="106">
        <f t="shared" si="80"/>
        <v>1131.13</v>
      </c>
      <c r="EB83" s="106">
        <f t="shared" si="80"/>
        <v>1302.43</v>
      </c>
      <c r="EC83" s="106">
        <f t="shared" si="80"/>
        <v>1347.56</v>
      </c>
      <c r="ED83" s="106">
        <f t="shared" si="80"/>
        <v>1696.3379999999997</v>
      </c>
      <c r="EE83" s="106">
        <f t="shared" si="80"/>
        <v>2258.283</v>
      </c>
      <c r="EF83" s="106">
        <f t="shared" si="80"/>
        <v>1424.731</v>
      </c>
      <c r="EG83" s="106">
        <f t="shared" si="80"/>
        <v>945.655</v>
      </c>
      <c r="EH83" s="106">
        <f t="shared" si="80"/>
        <v>13777.436000000002</v>
      </c>
      <c r="EI83" s="106">
        <f t="shared" si="80"/>
        <v>831.002</v>
      </c>
      <c r="EJ83" s="106">
        <f t="shared" si="80"/>
        <v>609.46</v>
      </c>
      <c r="EK83" s="106">
        <f t="shared" si="80"/>
        <v>408.2</v>
      </c>
      <c r="EL83" s="106">
        <f t="shared" si="80"/>
        <v>427.65</v>
      </c>
      <c r="EM83" s="106">
        <f t="shared" si="80"/>
        <v>387.20000000000005</v>
      </c>
      <c r="EN83" s="106">
        <f t="shared" si="80"/>
        <v>845.0600000000001</v>
      </c>
      <c r="EO83" s="106">
        <f t="shared" si="80"/>
        <v>434.41</v>
      </c>
      <c r="EP83" s="106">
        <f t="shared" si="80"/>
        <v>798.2399999999999</v>
      </c>
      <c r="EQ83" s="106">
        <f t="shared" si="80"/>
        <v>1166.4389999999999</v>
      </c>
      <c r="ER83" s="106">
        <f t="shared" si="80"/>
        <v>653.7059999999999</v>
      </c>
      <c r="ES83" s="106">
        <f t="shared" si="80"/>
        <v>1955.4769999999999</v>
      </c>
      <c r="ET83" s="106">
        <f t="shared" si="80"/>
        <v>1095.552</v>
      </c>
      <c r="EU83" s="106">
        <f t="shared" si="80"/>
        <v>9612.396</v>
      </c>
      <c r="EV83" s="106">
        <f t="shared" si="80"/>
        <v>553.404</v>
      </c>
      <c r="EW83" s="106">
        <f t="shared" si="80"/>
        <v>744.371</v>
      </c>
      <c r="EX83" s="106">
        <f t="shared" si="80"/>
        <v>858.36</v>
      </c>
      <c r="EY83" s="106">
        <f t="shared" si="80"/>
        <v>242.56699999999998</v>
      </c>
      <c r="EZ83" s="106">
        <f t="shared" si="80"/>
        <v>491.87</v>
      </c>
      <c r="FA83" s="106">
        <f t="shared" si="80"/>
        <v>628.761</v>
      </c>
      <c r="FB83" s="106">
        <f t="shared" si="80"/>
        <v>1149.2849999999999</v>
      </c>
      <c r="FC83" s="106">
        <f t="shared" si="80"/>
        <v>460.41999999999996</v>
      </c>
      <c r="FD83" s="106">
        <f t="shared" si="80"/>
        <v>850.1499999999999</v>
      </c>
      <c r="FE83" s="106">
        <f t="shared" si="80"/>
        <v>409.34499999999997</v>
      </c>
      <c r="FF83" s="106">
        <f t="shared" si="80"/>
        <v>1119.8700000000001</v>
      </c>
      <c r="FG83" s="106">
        <f t="shared" si="80"/>
        <v>390.21</v>
      </c>
      <c r="FH83" s="106">
        <f aca="true" t="shared" si="81" ref="FH83:FP83">FH70+FH72+FH76+FH80</f>
        <v>4668.618</v>
      </c>
      <c r="FI83" s="106">
        <f t="shared" si="81"/>
        <v>346.788</v>
      </c>
      <c r="FJ83" s="106">
        <f t="shared" si="81"/>
        <v>554.981</v>
      </c>
      <c r="FK83" s="106">
        <f t="shared" si="81"/>
        <v>476.88</v>
      </c>
      <c r="FL83" s="106">
        <f t="shared" si="81"/>
        <v>306.88199999999995</v>
      </c>
      <c r="FM83" s="106">
        <f t="shared" si="81"/>
        <v>303.95</v>
      </c>
      <c r="FN83" s="106">
        <f t="shared" si="81"/>
        <v>367.85</v>
      </c>
      <c r="FO83" s="106">
        <f t="shared" si="81"/>
        <v>337.5</v>
      </c>
      <c r="FP83" s="106">
        <f t="shared" si="81"/>
        <v>2694.831</v>
      </c>
      <c r="FQ83" s="12"/>
      <c r="FR83" s="12"/>
      <c r="FS83" s="13"/>
      <c r="FT83" s="13"/>
      <c r="FU83" s="14"/>
      <c r="FV83" s="13"/>
      <c r="FW83" s="13"/>
      <c r="FX83" s="13"/>
    </row>
    <row r="84" spans="1:180" ht="15.75">
      <c r="A84" s="56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108"/>
      <c r="O84" s="108"/>
      <c r="P84" s="108"/>
      <c r="Q84" s="108"/>
      <c r="R84" s="108"/>
      <c r="S84" s="175"/>
      <c r="T84" s="175"/>
      <c r="U84" s="175"/>
      <c r="V84" s="175"/>
      <c r="W84" s="108"/>
      <c r="X84" s="158"/>
      <c r="Y84" s="108"/>
      <c r="Z84" s="158"/>
      <c r="AA84" s="158"/>
      <c r="AB84" s="158"/>
      <c r="AC84" s="108"/>
      <c r="AD84" s="158"/>
      <c r="AE84" s="106"/>
      <c r="AF84" s="105"/>
      <c r="AG84" s="105"/>
      <c r="AH84" s="105"/>
      <c r="AI84" s="105"/>
      <c r="AJ84" s="105"/>
      <c r="AK84" s="105"/>
      <c r="AL84" s="105"/>
      <c r="AM84" s="105"/>
      <c r="AN84" s="158"/>
      <c r="AO84" s="158"/>
      <c r="AP84" s="108"/>
      <c r="AQ84" s="108"/>
      <c r="AR84" s="113"/>
      <c r="AS84" s="108"/>
      <c r="AT84" s="158"/>
      <c r="AU84" s="158"/>
      <c r="AV84" s="158"/>
      <c r="AW84" s="108"/>
      <c r="AX84" s="158"/>
      <c r="AY84" s="158"/>
      <c r="AZ84" s="158"/>
      <c r="BA84" s="171"/>
      <c r="BB84" s="158"/>
      <c r="BC84" s="158"/>
      <c r="BD84" s="158" t="s">
        <v>25</v>
      </c>
      <c r="BE84" s="158" t="s">
        <v>25</v>
      </c>
      <c r="BF84" s="158"/>
      <c r="BG84" s="158"/>
      <c r="BH84" s="158"/>
      <c r="BI84" s="158"/>
      <c r="BJ84" s="108"/>
      <c r="BK84" s="158"/>
      <c r="BL84" s="171"/>
      <c r="BM84" s="113"/>
      <c r="BN84" s="158"/>
      <c r="BO84" s="158"/>
      <c r="BP84" s="158"/>
      <c r="BQ84" s="158"/>
      <c r="BR84" s="158"/>
      <c r="BS84" s="158"/>
      <c r="BT84" s="158"/>
      <c r="BU84" s="107"/>
      <c r="BV84" s="158"/>
      <c r="BW84" s="15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200"/>
      <c r="CW84" s="150"/>
      <c r="CX84" s="150"/>
      <c r="CY84" s="150"/>
      <c r="CZ84" s="108"/>
      <c r="DA84" s="108"/>
      <c r="DB84" s="108"/>
      <c r="DC84" s="108"/>
      <c r="DD84" s="108"/>
      <c r="DE84" s="108"/>
      <c r="DF84" s="108"/>
      <c r="DG84" s="108"/>
      <c r="DH84" s="108" t="s">
        <v>25</v>
      </c>
      <c r="DI84" s="108" t="s">
        <v>25</v>
      </c>
      <c r="DJ84" s="108"/>
      <c r="DK84" s="108"/>
      <c r="DL84" s="108" t="s">
        <v>25</v>
      </c>
      <c r="DM84" s="108"/>
      <c r="DN84" s="108"/>
      <c r="DO84" s="108"/>
      <c r="DP84" s="108"/>
      <c r="DQ84" s="108"/>
      <c r="DR84" s="108"/>
      <c r="DS84" s="108"/>
      <c r="DT84" s="175"/>
      <c r="DU84" s="150" t="s">
        <v>25</v>
      </c>
      <c r="DV84" s="150" t="s">
        <v>25</v>
      </c>
      <c r="DW84" s="150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 t="s">
        <v>25</v>
      </c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26"/>
      <c r="FR84" s="26"/>
      <c r="FS84" s="13"/>
      <c r="FT84" s="13"/>
      <c r="FU84" s="12"/>
      <c r="FV84" s="14"/>
      <c r="FW84" s="12"/>
      <c r="FX84" s="12"/>
    </row>
    <row r="85" spans="1:180" ht="15.75">
      <c r="A85" s="6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8"/>
      <c r="CK85" s="35"/>
      <c r="CL85" s="35"/>
      <c r="CM85" s="35"/>
      <c r="CN85" s="35"/>
      <c r="CO85" s="35"/>
      <c r="CP85" s="35"/>
      <c r="CQ85" s="35"/>
      <c r="CR85" s="35"/>
      <c r="CS85" s="35"/>
      <c r="CT85" s="38"/>
      <c r="CU85" s="35"/>
      <c r="CV85" s="41"/>
      <c r="CW85" s="41"/>
      <c r="CX85" s="41"/>
      <c r="CY85" s="41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41"/>
      <c r="DV85" s="35"/>
      <c r="DW85" s="41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62"/>
      <c r="FJ85" s="35"/>
      <c r="FK85" s="35"/>
      <c r="FL85" s="35"/>
      <c r="FM85" s="35"/>
      <c r="FN85" s="35"/>
      <c r="FO85" s="35"/>
      <c r="FP85" s="38"/>
      <c r="FQ85" s="1"/>
      <c r="FR85" s="1"/>
      <c r="FS85" s="13"/>
      <c r="FT85" s="13"/>
      <c r="FU85" s="12"/>
      <c r="FV85" s="14"/>
      <c r="FW85" s="26"/>
      <c r="FX85" s="26"/>
    </row>
    <row r="86" spans="1:180" ht="15.75">
      <c r="A86" s="321" t="s">
        <v>89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9"/>
      <c r="CK86" s="41"/>
      <c r="CL86" s="41"/>
      <c r="CM86" s="41"/>
      <c r="CN86" s="41"/>
      <c r="CO86" s="41"/>
      <c r="CP86" s="41"/>
      <c r="CQ86" s="41"/>
      <c r="CR86" s="41"/>
      <c r="CS86" s="41"/>
      <c r="CT86" s="49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4"/>
      <c r="FJ86" s="41"/>
      <c r="FK86" s="41"/>
      <c r="FL86" s="41"/>
      <c r="FM86" s="41"/>
      <c r="FN86" s="41"/>
      <c r="FO86" s="41"/>
      <c r="FP86" s="49"/>
      <c r="FQ86" s="1"/>
      <c r="FR86" s="1"/>
      <c r="FS86" s="14"/>
      <c r="FT86" s="14"/>
      <c r="FU86" s="12"/>
      <c r="FV86" s="13"/>
      <c r="FW86" s="1"/>
      <c r="FX86" s="1"/>
    </row>
    <row r="87" spans="1:180" ht="15.75">
      <c r="A87" s="20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5"/>
      <c r="CK87" s="52"/>
      <c r="CL87" s="52"/>
      <c r="CM87" s="52"/>
      <c r="CN87" s="52"/>
      <c r="CO87" s="52"/>
      <c r="CP87" s="52"/>
      <c r="CQ87" s="52"/>
      <c r="CR87" s="52"/>
      <c r="CS87" s="52"/>
      <c r="CT87" s="55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201"/>
      <c r="FJ87" s="52"/>
      <c r="FK87" s="52"/>
      <c r="FL87" s="52"/>
      <c r="FM87" s="52"/>
      <c r="FN87" s="52"/>
      <c r="FO87" s="52"/>
      <c r="FP87" s="55"/>
      <c r="FQ87" s="1"/>
      <c r="FR87" s="1"/>
      <c r="FS87" s="13"/>
      <c r="FT87" s="13"/>
      <c r="FU87" s="12"/>
      <c r="FV87" s="14"/>
      <c r="FW87" s="1"/>
      <c r="FX87" s="1"/>
    </row>
    <row r="88" spans="1:180" ht="15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35"/>
      <c r="CW88" s="35"/>
      <c r="CX88" s="35"/>
      <c r="CY88" s="35"/>
      <c r="CZ88" s="35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1"/>
      <c r="FR88" s="1"/>
      <c r="FS88" s="14"/>
      <c r="FT88" s="14"/>
      <c r="FU88" s="14"/>
      <c r="FV88" s="13"/>
      <c r="FW88" s="1"/>
      <c r="FX88" s="1"/>
    </row>
    <row r="89" spans="1:178" ht="15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131"/>
      <c r="DI89" s="131"/>
      <c r="DJ89" s="13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S89" s="14"/>
      <c r="FT89" s="14"/>
      <c r="FU89" s="14"/>
      <c r="FV89" s="14"/>
    </row>
    <row r="90" spans="1:178" ht="15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13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S90" s="14"/>
      <c r="FT90" s="14"/>
      <c r="FU90" s="14"/>
      <c r="FV90" s="13"/>
    </row>
    <row r="91" spans="1:178" ht="15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>
        <f aca="true" t="shared" si="82" ref="BV91:CH91">(BV63+BV83)/1000</f>
        <v>18.115569999999995</v>
      </c>
      <c r="BW91" s="41">
        <f t="shared" si="82"/>
        <v>13.984846</v>
      </c>
      <c r="BX91" s="202">
        <f>(BX63+BX83)/1000</f>
        <v>12.93914</v>
      </c>
      <c r="BY91" s="41">
        <f t="shared" si="82"/>
        <v>13.656443999999999</v>
      </c>
      <c r="BZ91" s="41">
        <f t="shared" si="82"/>
        <v>13.842598</v>
      </c>
      <c r="CA91" s="41">
        <f t="shared" si="82"/>
        <v>13.282032000000001</v>
      </c>
      <c r="CB91" s="41">
        <f t="shared" si="82"/>
        <v>15.020408</v>
      </c>
      <c r="CC91" s="41">
        <f t="shared" si="82"/>
        <v>21.779774</v>
      </c>
      <c r="CD91" s="41">
        <f t="shared" si="82"/>
        <v>20.478482</v>
      </c>
      <c r="CE91" s="41">
        <f t="shared" si="82"/>
        <v>25.672702</v>
      </c>
      <c r="CF91" s="41">
        <f t="shared" si="82"/>
        <v>26.619453999999998</v>
      </c>
      <c r="CG91" s="41">
        <f t="shared" si="82"/>
        <v>26.873946</v>
      </c>
      <c r="CH91" s="41">
        <f t="shared" si="82"/>
        <v>222.265396</v>
      </c>
      <c r="CI91" s="41">
        <f>(CI63+CI83)/1000</f>
        <v>25.120293999999998</v>
      </c>
      <c r="CJ91" s="41">
        <f aca="true" t="shared" si="83" ref="CJ91:CU91">(CJ63+CJ83)/1000</f>
        <v>21.966273</v>
      </c>
      <c r="CK91" s="41">
        <f t="shared" si="83"/>
        <v>22.922126999999996</v>
      </c>
      <c r="CL91" s="41">
        <f t="shared" si="83"/>
        <v>19.127379</v>
      </c>
      <c r="CM91" s="41">
        <f t="shared" si="83"/>
        <v>13.970401000000003</v>
      </c>
      <c r="CN91" s="41">
        <f t="shared" si="83"/>
        <v>16.297481</v>
      </c>
      <c r="CO91" s="41">
        <f t="shared" si="83"/>
        <v>22.176078000000004</v>
      </c>
      <c r="CP91" s="41">
        <f t="shared" si="83"/>
        <v>19.017671</v>
      </c>
      <c r="CQ91" s="41">
        <f t="shared" si="83"/>
        <v>19.437039000000002</v>
      </c>
      <c r="CR91" s="41">
        <f t="shared" si="83"/>
        <v>18.667631999999998</v>
      </c>
      <c r="CS91" s="41">
        <f t="shared" si="83"/>
        <v>19.276860000000003</v>
      </c>
      <c r="CT91" s="41">
        <f t="shared" si="83"/>
        <v>15.684145999999998</v>
      </c>
      <c r="CU91" s="41">
        <f t="shared" si="83"/>
        <v>233.66338100000002</v>
      </c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S91" s="14"/>
      <c r="FT91" s="14"/>
      <c r="FU91" s="14"/>
      <c r="FV91" s="14"/>
    </row>
    <row r="92" spans="1:178" ht="15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13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S92" s="13"/>
      <c r="FT92" s="13"/>
      <c r="FU92" s="12"/>
      <c r="FV92" s="14"/>
    </row>
    <row r="93" spans="1:178" ht="15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41"/>
      <c r="BA93" s="41"/>
      <c r="BB93" s="41"/>
      <c r="BC93" s="41"/>
      <c r="BD93" s="41"/>
      <c r="BE93" s="41"/>
      <c r="BF93" s="41"/>
      <c r="BG93" s="41"/>
      <c r="BH93" s="41"/>
      <c r="BI93" s="203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13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S93" s="13"/>
      <c r="FT93" s="13"/>
      <c r="FU93" s="13"/>
      <c r="FV93" s="13"/>
    </row>
    <row r="94" spans="1:178" ht="15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13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S94" s="13"/>
      <c r="FT94" s="13"/>
      <c r="FU94" s="12"/>
      <c r="FV94" s="14"/>
    </row>
    <row r="95" spans="1:178" ht="15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>
        <v>168.8</v>
      </c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>
        <f>CU63-213542</f>
        <v>10614.280000000028</v>
      </c>
      <c r="CT95" s="41"/>
      <c r="CU95" s="41"/>
      <c r="CV95" s="13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S95" s="13"/>
      <c r="FT95" s="13"/>
      <c r="FU95" s="12"/>
      <c r="FV95" s="14"/>
    </row>
    <row r="96" spans="1:178" ht="15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>
        <v>113.5</v>
      </c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13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S96" s="13"/>
      <c r="FT96" s="14"/>
      <c r="FU96" s="14"/>
      <c r="FV96" s="13"/>
    </row>
    <row r="97" spans="1:178" ht="15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>
        <f>AK95/AK96</f>
        <v>1.4872246696035243</v>
      </c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13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S97" s="14"/>
      <c r="FT97" s="14"/>
      <c r="FU97" s="14"/>
      <c r="FV97" s="14"/>
    </row>
    <row r="98" spans="175:178" ht="15.75">
      <c r="FS98" s="13"/>
      <c r="FT98" s="13"/>
      <c r="FU98" s="12"/>
      <c r="FV98" s="14"/>
    </row>
    <row r="99" spans="175:178" ht="15.75">
      <c r="FS99" s="13"/>
      <c r="FT99" s="13"/>
      <c r="FU99" s="12"/>
      <c r="FV99" s="14"/>
    </row>
    <row r="100" spans="52:178" ht="15.75">
      <c r="AZ100" s="1" t="s">
        <v>83</v>
      </c>
      <c r="FS100" s="12"/>
      <c r="FT100" s="12"/>
      <c r="FU100" s="12"/>
      <c r="FV100" s="13"/>
    </row>
    <row r="101" spans="175:178" ht="15.75">
      <c r="FS101" s="13"/>
      <c r="FT101" s="13"/>
      <c r="FU101" s="12"/>
      <c r="FV101" s="14"/>
    </row>
    <row r="102" spans="175:178" ht="15.75">
      <c r="FS102" s="13"/>
      <c r="FT102" s="13"/>
      <c r="FU102" s="12"/>
      <c r="FV102" s="14"/>
    </row>
    <row r="103" spans="175:178" ht="15.75">
      <c r="FS103" s="14"/>
      <c r="FT103" s="14"/>
      <c r="FU103" s="14"/>
      <c r="FV103" s="14"/>
    </row>
    <row r="104" spans="175:178" ht="15.75">
      <c r="FS104" s="13"/>
      <c r="FT104" s="13"/>
      <c r="FU104" s="14"/>
      <c r="FV104" s="13"/>
    </row>
    <row r="105" spans="175:178" ht="15.75">
      <c r="FS105" s="13"/>
      <c r="FT105" s="13"/>
      <c r="FU105" s="12"/>
      <c r="FV105" s="14"/>
    </row>
    <row r="106" spans="175:178" ht="15.75">
      <c r="FS106" s="12"/>
      <c r="FT106" s="12"/>
      <c r="FU106" s="12"/>
      <c r="FV106" s="13"/>
    </row>
    <row r="107" spans="175:178" ht="15.75">
      <c r="FS107" s="13"/>
      <c r="FT107" s="13"/>
      <c r="FU107" s="12"/>
      <c r="FV107" s="14"/>
    </row>
    <row r="108" spans="175:178" ht="15.75">
      <c r="FS108" s="12"/>
      <c r="FT108" s="12"/>
      <c r="FU108" s="12"/>
      <c r="FV108" s="13"/>
    </row>
    <row r="109" spans="175:178" ht="15.75">
      <c r="FS109" s="13"/>
      <c r="FT109" s="13"/>
      <c r="FU109" s="12"/>
      <c r="FV109" s="14"/>
    </row>
    <row r="110" spans="175:178" ht="15.75">
      <c r="FS110" s="14"/>
      <c r="FT110" s="14"/>
      <c r="FU110" s="14"/>
      <c r="FV110" s="14"/>
    </row>
    <row r="111" spans="175:178" ht="15.75">
      <c r="FS111" s="13"/>
      <c r="FT111" s="13"/>
      <c r="FU111" s="14"/>
      <c r="FV111" s="14"/>
    </row>
    <row r="112" spans="175:178" ht="15.75">
      <c r="FS112" s="13"/>
      <c r="FT112" s="13"/>
      <c r="FU112" s="14"/>
      <c r="FV112" s="14"/>
    </row>
    <row r="113" spans="175:178" ht="15.75">
      <c r="FS113" s="14"/>
      <c r="FT113" s="14"/>
      <c r="FU113" s="14"/>
      <c r="FV113" s="14"/>
    </row>
    <row r="114" spans="175:178" ht="15.75">
      <c r="FS114" s="14"/>
      <c r="FT114" s="14"/>
      <c r="FU114" s="14"/>
      <c r="FV114" s="14"/>
    </row>
    <row r="115" spans="175:178" ht="15.75">
      <c r="FS115" s="13"/>
      <c r="FT115" s="13"/>
      <c r="FU115" s="13"/>
      <c r="FV115" s="13"/>
    </row>
    <row r="116" spans="175:178" ht="15.75">
      <c r="FS116" s="14"/>
      <c r="FT116" s="14"/>
      <c r="FU116" s="14"/>
      <c r="FV116" s="14"/>
    </row>
    <row r="117" spans="175:178" ht="15.75">
      <c r="FS117" s="13"/>
      <c r="FT117" s="13"/>
      <c r="FU117" s="14"/>
      <c r="FV117" s="13"/>
    </row>
    <row r="118" spans="175:178" ht="15.75">
      <c r="FS118" s="13"/>
      <c r="FT118" s="13"/>
      <c r="FU118" s="13"/>
      <c r="FV118" s="13"/>
    </row>
    <row r="119" spans="175:178" ht="15.75">
      <c r="FS119" s="19"/>
      <c r="FT119" s="19"/>
      <c r="FU119" s="12"/>
      <c r="FV119" s="14"/>
    </row>
    <row r="120" spans="175:178" ht="15.75">
      <c r="FS120" s="18"/>
      <c r="FT120" s="18"/>
      <c r="FU120" s="12"/>
      <c r="FV120" s="12"/>
    </row>
    <row r="121" spans="175:178" ht="15.75">
      <c r="FS121" s="12"/>
      <c r="FT121" s="12"/>
      <c r="FU121" s="12"/>
      <c r="FV121" s="12"/>
    </row>
    <row r="122" spans="175:178" ht="15.75">
      <c r="FS122" s="19"/>
      <c r="FT122" s="19"/>
      <c r="FU122" s="12"/>
      <c r="FV122" s="12"/>
    </row>
    <row r="123" spans="175:178" ht="15.75">
      <c r="FS123" s="7"/>
      <c r="FT123" s="7"/>
      <c r="FU123" s="7"/>
      <c r="FV123" s="7"/>
    </row>
    <row r="124" spans="175:178" ht="15.75">
      <c r="FS124" s="7"/>
      <c r="FT124" s="7"/>
      <c r="FU124" s="27"/>
      <c r="FV124" s="27"/>
    </row>
    <row r="125" spans="175:178" ht="15.75">
      <c r="FS125" s="7"/>
      <c r="FT125" s="7"/>
      <c r="FU125" s="27"/>
      <c r="FV125" s="27"/>
    </row>
    <row r="126" spans="175:178" ht="15.75">
      <c r="FS126" s="10"/>
      <c r="FT126" s="10"/>
      <c r="FU126" s="10"/>
      <c r="FV126" s="10"/>
    </row>
    <row r="127" spans="175:178" ht="15.75">
      <c r="FS127" s="10"/>
      <c r="FT127" s="10"/>
      <c r="FU127" s="10"/>
      <c r="FV127" s="10"/>
    </row>
    <row r="128" spans="175:178" ht="15.75">
      <c r="FS128" s="13"/>
      <c r="FT128" s="13"/>
      <c r="FU128" s="12"/>
      <c r="FV128" s="13"/>
    </row>
    <row r="129" spans="175:178" ht="15.75">
      <c r="FS129" s="13"/>
      <c r="FT129" s="24"/>
      <c r="FU129" s="12"/>
      <c r="FV129" s="13"/>
    </row>
    <row r="130" spans="175:178" ht="15.75">
      <c r="FS130" s="15"/>
      <c r="FT130" s="15"/>
      <c r="FU130" s="15"/>
      <c r="FV130" s="13"/>
    </row>
    <row r="131" spans="175:178" ht="15.75">
      <c r="FS131" s="15"/>
      <c r="FT131" s="13"/>
      <c r="FU131" s="15"/>
      <c r="FV131" s="14"/>
    </row>
    <row r="132" spans="175:178" ht="15.75">
      <c r="FS132" s="15"/>
      <c r="FT132" s="15"/>
      <c r="FU132" s="15"/>
      <c r="FV132" s="15"/>
    </row>
    <row r="133" spans="175:178" ht="15.75">
      <c r="FS133" s="15"/>
      <c r="FT133" s="13"/>
      <c r="FU133" s="12"/>
      <c r="FV133" s="14"/>
    </row>
    <row r="134" spans="175:178" ht="15.75">
      <c r="FS134" s="15"/>
      <c r="FT134" s="14"/>
      <c r="FU134" s="14"/>
      <c r="FV134" s="13"/>
    </row>
    <row r="135" spans="175:178" ht="15.75">
      <c r="FS135" s="13"/>
      <c r="FT135" s="13"/>
      <c r="FU135" s="12"/>
      <c r="FV135" s="14"/>
    </row>
    <row r="136" spans="175:178" ht="15.75">
      <c r="FS136" s="13"/>
      <c r="FT136" s="13"/>
      <c r="FU136" s="12"/>
      <c r="FV136" s="14"/>
    </row>
    <row r="137" spans="175:178" ht="15.75">
      <c r="FS137" s="13"/>
      <c r="FT137" s="13"/>
      <c r="FU137" s="12"/>
      <c r="FV137" s="14"/>
    </row>
    <row r="138" spans="175:178" ht="15.75">
      <c r="FS138" s="13"/>
      <c r="FT138" s="13"/>
      <c r="FU138" s="12"/>
      <c r="FV138" s="13"/>
    </row>
    <row r="139" spans="175:178" ht="15.75">
      <c r="FS139" s="21"/>
      <c r="FT139" s="21"/>
      <c r="FU139" s="21"/>
      <c r="FV139" s="14"/>
    </row>
    <row r="140" spans="175:178" ht="15.75">
      <c r="FS140" s="26"/>
      <c r="FT140" s="17"/>
      <c r="FU140" s="13"/>
      <c r="FV140" s="13"/>
    </row>
    <row r="141" spans="175:178" ht="15.75">
      <c r="FS141" s="12"/>
      <c r="FT141" s="12"/>
      <c r="FU141" s="12"/>
      <c r="FV141" s="12"/>
    </row>
    <row r="142" spans="175:178" ht="15.75">
      <c r="FS142" s="26"/>
      <c r="FT142" s="22"/>
      <c r="FU142" s="26"/>
      <c r="FV142" s="26"/>
    </row>
  </sheetData>
  <sheetProtection/>
  <mergeCells count="12">
    <mergeCell ref="EV6:FH8"/>
    <mergeCell ref="DJ6:DU8"/>
    <mergeCell ref="FI6:FP8"/>
    <mergeCell ref="A3:EH3"/>
    <mergeCell ref="A4:EH4"/>
    <mergeCell ref="A66:EH66"/>
    <mergeCell ref="A67:EH67"/>
    <mergeCell ref="EI6:EU8"/>
    <mergeCell ref="AY7:AZ7"/>
    <mergeCell ref="CV7:DH7"/>
    <mergeCell ref="CI7:CU7"/>
    <mergeCell ref="DV6:EH8"/>
  </mergeCells>
  <printOptions horizontalCentered="1" verticalCentered="1"/>
  <pageMargins left="0.7086614173228347" right="0.7086614173228347" top="0.5118110236220472" bottom="0.551181102362204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2017-03-08T07:20:31Z</cp:lastPrinted>
  <dcterms:created xsi:type="dcterms:W3CDTF">2000-08-22T08:21:46Z</dcterms:created>
  <dcterms:modified xsi:type="dcterms:W3CDTF">2017-09-22T06:46:19Z</dcterms:modified>
  <cp:category/>
  <cp:version/>
  <cp:contentType/>
  <cp:contentStatus/>
</cp:coreProperties>
</file>