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5 Français" sheetId="1" r:id="rId1"/>
  </sheets>
  <definedNames>
    <definedName name="_xlnm.Print_Area" localSheetId="0">'V5 Français'!$A$1:$F$419</definedName>
    <definedName name="Zone_impres_MI">'V5 Français'!$A$1:$F$418</definedName>
  </definedNames>
  <calcPr fullCalcOnLoad="1"/>
</workbook>
</file>

<file path=xl/sharedStrings.xml><?xml version="1.0" encoding="utf-8"?>
<sst xmlns="http://schemas.openxmlformats.org/spreadsheetml/2006/main" count="371" uniqueCount="81">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</sst>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21"/>
  <sheetViews>
    <sheetView showGridLines="0" tabSelected="1" zoomScalePageLayoutView="0" workbookViewId="0" topLeftCell="A1">
      <pane xSplit="1" ySplit="9" topLeftCell="B39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410" sqref="H410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SUM(B293:B304)</f>
        <v>32848</v>
      </c>
      <c r="C176" s="36">
        <f>SUM(C293:C304)</f>
        <v>3414</v>
      </c>
      <c r="D176" s="36">
        <f>SUM(D293:D304)</f>
        <v>31001</v>
      </c>
      <c r="E176" s="31">
        <f>SUM(E293:E304)</f>
        <v>0</v>
      </c>
      <c r="F176" s="37">
        <f>SUM(F293:F304)</f>
        <v>5612</v>
      </c>
    </row>
    <row r="177" spans="1:6" ht="15.75" hidden="1">
      <c r="A177" s="28">
        <v>2011</v>
      </c>
      <c r="B177" s="36">
        <f>B233+B234+B235+B236</f>
        <v>36561</v>
      </c>
      <c r="C177" s="36">
        <f>C233+C234+C235+C236</f>
        <v>3359</v>
      </c>
      <c r="D177" s="36">
        <f>D233+D234+D235+D236</f>
        <v>35427</v>
      </c>
      <c r="E177" s="31">
        <f>E233+E234+E235+E236</f>
        <v>0</v>
      </c>
      <c r="F177" s="37">
        <f>F233+F234+F235+F236</f>
        <v>5406</v>
      </c>
    </row>
    <row r="178" spans="1:6" ht="15.75" hidden="1">
      <c r="A178" s="28">
        <v>2012</v>
      </c>
      <c r="B178" s="36">
        <f>B239+B240+B241+B242</f>
        <v>43616</v>
      </c>
      <c r="C178" s="36">
        <f>C239+C240+C241+C242</f>
        <v>2934</v>
      </c>
      <c r="D178" s="36">
        <f>D239+D240+D241+D242</f>
        <v>36000</v>
      </c>
      <c r="E178" s="31">
        <f>E239+E240+E241+E242</f>
        <v>0</v>
      </c>
      <c r="F178" s="37">
        <f>F239+F240+F241+F242</f>
        <v>4822</v>
      </c>
    </row>
    <row r="179" spans="1:6" ht="15.75">
      <c r="A179" s="28">
        <v>2013</v>
      </c>
      <c r="B179" s="36">
        <f>B245+B246+B247+B248</f>
        <v>38855</v>
      </c>
      <c r="C179" s="36">
        <f>C245+C246+C247+C248</f>
        <v>3644</v>
      </c>
      <c r="D179" s="36">
        <f>D245+D246+D247+D248</f>
        <v>31755</v>
      </c>
      <c r="E179" s="36">
        <f>E245+E246+E247+E248</f>
        <v>0</v>
      </c>
      <c r="F179" s="36">
        <f>F245+F246+F247+F248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B251+B252+B253+B254</f>
        <v>37313</v>
      </c>
      <c r="C200" s="36">
        <f>C251+C252+C253+C254</f>
        <v>1566.8799999999999</v>
      </c>
      <c r="D200" s="36">
        <f>D251+D252+D253+D254</f>
        <v>30845.2</v>
      </c>
      <c r="E200" s="36">
        <f>E251+E252+E253+E254</f>
        <v>0</v>
      </c>
      <c r="F200" s="36">
        <f>F251+F252+F253+F254</f>
        <v>5246.25</v>
      </c>
    </row>
    <row r="201" spans="1:6" ht="15.75">
      <c r="A201" s="28">
        <v>2015</v>
      </c>
      <c r="B201" s="36">
        <f>B257+B258+B259+B260</f>
        <v>31537</v>
      </c>
      <c r="C201" s="36">
        <f>C257+C258+C259+C260</f>
        <v>510</v>
      </c>
      <c r="D201" s="36">
        <f>D257+D258+D259+D260</f>
        <v>23122</v>
      </c>
      <c r="E201" s="36">
        <f>E257+E258+E259+E260</f>
        <v>0</v>
      </c>
      <c r="F201" s="36">
        <f>F257+F258+F259+F260</f>
        <v>3488</v>
      </c>
    </row>
    <row r="202" spans="1:6" ht="15.75">
      <c r="A202" s="28">
        <v>2016</v>
      </c>
      <c r="B202" s="36">
        <f>B263+B264+B265+B266</f>
        <v>23342</v>
      </c>
      <c r="C202" s="36">
        <f>C263+C264+C265+C266</f>
        <v>336</v>
      </c>
      <c r="D202" s="36">
        <f>D263+D264+D265+D266</f>
        <v>19483</v>
      </c>
      <c r="E202" s="36">
        <f>E263+E264+E265+E266</f>
        <v>0</v>
      </c>
      <c r="F202" s="36">
        <f>F263+F264+F265+F266</f>
        <v>1966</v>
      </c>
    </row>
    <row r="203" spans="1:6" ht="15.75">
      <c r="A203" s="28">
        <v>2017</v>
      </c>
      <c r="B203" s="36">
        <f>B269+B270+B271+B272</f>
        <v>37080</v>
      </c>
      <c r="C203" s="36">
        <f>C269+C270+C271+C272</f>
        <v>351</v>
      </c>
      <c r="D203" s="36">
        <f>D269+D270+D271+D272</f>
        <v>47181</v>
      </c>
      <c r="E203" s="36">
        <f>E269+E270+E271+E272</f>
        <v>0</v>
      </c>
      <c r="F203" s="36">
        <f>F269+F270+F271+F272</f>
        <v>3652</v>
      </c>
    </row>
    <row r="204" spans="1:6" ht="15.75">
      <c r="A204" s="17"/>
      <c r="B204" s="31"/>
      <c r="C204" s="26"/>
      <c r="D204" s="26"/>
      <c r="E204" s="25"/>
      <c r="F204" s="26"/>
    </row>
    <row r="205" spans="1:6" ht="15.75" hidden="1">
      <c r="A205" s="17"/>
      <c r="B205" s="31"/>
      <c r="C205" s="26"/>
      <c r="D205" s="26"/>
      <c r="E205" s="25"/>
      <c r="F205" s="26"/>
    </row>
    <row r="206" spans="1:6" ht="15.75" hidden="1">
      <c r="A206" s="32" t="s">
        <v>66</v>
      </c>
      <c r="B206" s="31"/>
      <c r="C206" s="26"/>
      <c r="D206" s="26"/>
      <c r="E206" s="25"/>
      <c r="F206" s="26"/>
    </row>
    <row r="207" spans="1:6" ht="15.75" hidden="1">
      <c r="A207" s="17" t="s">
        <v>14</v>
      </c>
      <c r="B207" s="31">
        <v>6632</v>
      </c>
      <c r="C207" s="26">
        <v>191</v>
      </c>
      <c r="D207" s="26">
        <v>7106</v>
      </c>
      <c r="E207" s="25"/>
      <c r="F207" s="26">
        <v>1589</v>
      </c>
    </row>
    <row r="208" spans="1:6" ht="15.75" hidden="1">
      <c r="A208" s="17" t="s">
        <v>15</v>
      </c>
      <c r="B208" s="31">
        <v>7616</v>
      </c>
      <c r="C208" s="26">
        <v>339</v>
      </c>
      <c r="D208" s="26">
        <v>8421</v>
      </c>
      <c r="E208" s="25"/>
      <c r="F208" s="26">
        <v>1608</v>
      </c>
    </row>
    <row r="209" spans="1:6" ht="15.75" hidden="1">
      <c r="A209" s="17" t="s">
        <v>16</v>
      </c>
      <c r="B209" s="31">
        <v>8506</v>
      </c>
      <c r="C209" s="26">
        <v>421</v>
      </c>
      <c r="D209" s="26">
        <v>8240</v>
      </c>
      <c r="E209" s="25"/>
      <c r="F209" s="26">
        <v>2196</v>
      </c>
    </row>
    <row r="210" spans="1:6" ht="15.75" hidden="1">
      <c r="A210" s="17" t="s">
        <v>17</v>
      </c>
      <c r="B210" s="31">
        <v>7982</v>
      </c>
      <c r="C210" s="26">
        <v>759</v>
      </c>
      <c r="D210" s="26">
        <v>8495</v>
      </c>
      <c r="E210" s="25">
        <v>0</v>
      </c>
      <c r="F210" s="26">
        <v>1863</v>
      </c>
    </row>
    <row r="211" spans="1:6" ht="15.75" hidden="1">
      <c r="A211" s="17"/>
      <c r="B211" s="33"/>
      <c r="C211" s="38"/>
      <c r="D211" s="38"/>
      <c r="E211" s="33"/>
      <c r="F211" s="39"/>
    </row>
    <row r="212" spans="1:6" ht="15.75" hidden="1">
      <c r="A212" s="32" t="s">
        <v>62</v>
      </c>
      <c r="B212" s="31"/>
      <c r="C212" s="26"/>
      <c r="D212" s="26"/>
      <c r="E212" s="25"/>
      <c r="F212" s="26"/>
    </row>
    <row r="213" spans="1:6" ht="15.75" hidden="1">
      <c r="A213" s="17" t="s">
        <v>29</v>
      </c>
      <c r="B213" s="31">
        <v>2366</v>
      </c>
      <c r="C213" s="26">
        <v>117</v>
      </c>
      <c r="D213" s="26">
        <v>2679</v>
      </c>
      <c r="E213" s="25"/>
      <c r="F213" s="26">
        <v>395</v>
      </c>
    </row>
    <row r="214" spans="1:6" ht="15.75" hidden="1">
      <c r="A214" s="17" t="s">
        <v>30</v>
      </c>
      <c r="B214" s="31">
        <v>2126</v>
      </c>
      <c r="C214" s="26">
        <v>36</v>
      </c>
      <c r="D214" s="26">
        <v>2416</v>
      </c>
      <c r="E214" s="25"/>
      <c r="F214" s="26">
        <v>658</v>
      </c>
    </row>
    <row r="215" spans="1:6" ht="15.75" hidden="1">
      <c r="A215" s="17" t="s">
        <v>31</v>
      </c>
      <c r="B215" s="31">
        <v>2355</v>
      </c>
      <c r="C215" s="26">
        <v>64</v>
      </c>
      <c r="D215" s="26">
        <v>2800</v>
      </c>
      <c r="E215" s="25"/>
      <c r="F215" s="26">
        <v>600</v>
      </c>
    </row>
    <row r="216" spans="1:6" ht="15.75" hidden="1">
      <c r="A216" s="17" t="s">
        <v>19</v>
      </c>
      <c r="B216" s="31">
        <v>2521</v>
      </c>
      <c r="C216" s="26">
        <v>95</v>
      </c>
      <c r="D216" s="26">
        <v>2723</v>
      </c>
      <c r="E216" s="25"/>
      <c r="F216" s="26">
        <v>995</v>
      </c>
    </row>
    <row r="217" spans="1:6" ht="15.75" hidden="1">
      <c r="A217" s="17" t="s">
        <v>20</v>
      </c>
      <c r="B217" s="31">
        <v>2286</v>
      </c>
      <c r="C217" s="26">
        <v>131</v>
      </c>
      <c r="D217" s="26">
        <v>2769</v>
      </c>
      <c r="E217" s="25"/>
      <c r="F217" s="26">
        <v>806</v>
      </c>
    </row>
    <row r="218" spans="1:6" ht="15.75" hidden="1">
      <c r="A218" s="17" t="s">
        <v>21</v>
      </c>
      <c r="B218" s="31">
        <v>1763</v>
      </c>
      <c r="C218" s="26">
        <v>127</v>
      </c>
      <c r="D218" s="26">
        <v>2248</v>
      </c>
      <c r="E218" s="25"/>
      <c r="F218" s="26">
        <v>413</v>
      </c>
    </row>
    <row r="219" spans="1:6" ht="15.75" hidden="1">
      <c r="A219" s="17" t="s">
        <v>22</v>
      </c>
      <c r="B219" s="31">
        <v>2031</v>
      </c>
      <c r="C219" s="26">
        <v>180</v>
      </c>
      <c r="D219" s="26">
        <v>2812</v>
      </c>
      <c r="E219" s="25"/>
      <c r="F219" s="26">
        <v>516</v>
      </c>
    </row>
    <row r="220" spans="1:6" ht="15.75" hidden="1">
      <c r="A220" s="17" t="s">
        <v>23</v>
      </c>
      <c r="B220" s="31">
        <v>3110</v>
      </c>
      <c r="C220" s="26">
        <v>158</v>
      </c>
      <c r="D220" s="26">
        <v>3437</v>
      </c>
      <c r="E220" s="25"/>
      <c r="F220" s="26">
        <v>560</v>
      </c>
    </row>
    <row r="221" spans="1:6" ht="15.75" hidden="1">
      <c r="A221" s="17" t="s">
        <v>24</v>
      </c>
      <c r="B221" s="31">
        <v>2945</v>
      </c>
      <c r="C221" s="26">
        <v>148</v>
      </c>
      <c r="D221" s="26">
        <v>3493</v>
      </c>
      <c r="E221" s="25"/>
      <c r="F221" s="26">
        <v>627</v>
      </c>
    </row>
    <row r="222" spans="1:6" ht="15.75" hidden="1">
      <c r="A222" s="17" t="s">
        <v>57</v>
      </c>
      <c r="B222" s="31">
        <v>2967</v>
      </c>
      <c r="C222" s="26">
        <v>103</v>
      </c>
      <c r="D222" s="26">
        <v>3478</v>
      </c>
      <c r="E222" s="25"/>
      <c r="F222" s="26">
        <v>491</v>
      </c>
    </row>
    <row r="223" spans="1:6" ht="15.75" hidden="1">
      <c r="A223" s="17" t="s">
        <v>58</v>
      </c>
      <c r="B223" s="31">
        <v>2572</v>
      </c>
      <c r="C223" s="26">
        <v>140</v>
      </c>
      <c r="D223" s="26">
        <v>2876</v>
      </c>
      <c r="E223" s="25"/>
      <c r="F223" s="26">
        <v>647</v>
      </c>
    </row>
    <row r="224" spans="1:6" ht="15.75" hidden="1">
      <c r="A224" s="17" t="s">
        <v>27</v>
      </c>
      <c r="B224" s="31">
        <v>2398</v>
      </c>
      <c r="C224" s="26">
        <v>56</v>
      </c>
      <c r="D224" s="26">
        <v>2481</v>
      </c>
      <c r="E224" s="25"/>
      <c r="F224" s="26">
        <v>627</v>
      </c>
    </row>
    <row r="225" spans="1:6" ht="15.75" hidden="1">
      <c r="A225" s="17"/>
      <c r="B225" s="31"/>
      <c r="C225" s="26"/>
      <c r="D225" s="26"/>
      <c r="E225" s="25"/>
      <c r="F225" s="26"/>
    </row>
    <row r="226" spans="1:6" ht="15.75" hidden="1">
      <c r="A226" s="29" t="s">
        <v>69</v>
      </c>
      <c r="B226" s="31"/>
      <c r="C226" s="26"/>
      <c r="D226" s="26"/>
      <c r="E226" s="25"/>
      <c r="F226" s="26"/>
    </row>
    <row r="227" spans="1:6" ht="15.75" hidden="1">
      <c r="A227" s="17" t="s">
        <v>14</v>
      </c>
      <c r="B227" s="36">
        <f>SUM(B293:B295)</f>
        <v>7569</v>
      </c>
      <c r="C227" s="36">
        <f>SUM(C293:C295)</f>
        <v>731</v>
      </c>
      <c r="D227" s="36">
        <f>SUM(D293:D295)</f>
        <v>7245</v>
      </c>
      <c r="E227" s="31">
        <f>SUM(E293:E295)</f>
        <v>0</v>
      </c>
      <c r="F227" s="36">
        <f>SUM(F293:F295)</f>
        <v>1491</v>
      </c>
    </row>
    <row r="228" spans="1:7" ht="15.75" hidden="1">
      <c r="A228" s="17" t="s">
        <v>15</v>
      </c>
      <c r="B228" s="31">
        <f>B296+B297+B298</f>
        <v>7918</v>
      </c>
      <c r="C228" s="40">
        <f>C296+C297+C298</f>
        <v>866</v>
      </c>
      <c r="D228" s="40">
        <f>D296+D297+D298</f>
        <v>7121</v>
      </c>
      <c r="E228" s="31">
        <f>E296+E297+E298</f>
        <v>0</v>
      </c>
      <c r="F228" s="36">
        <f>F296+F297+F298</f>
        <v>1293</v>
      </c>
      <c r="G228" s="5"/>
    </row>
    <row r="229" spans="1:7" ht="15.75" hidden="1">
      <c r="A229" s="17" t="s">
        <v>16</v>
      </c>
      <c r="B229" s="36">
        <f>B299+B300+B301</f>
        <v>8933</v>
      </c>
      <c r="C229" s="36">
        <f>C299+C300+C301</f>
        <v>1008</v>
      </c>
      <c r="D229" s="36">
        <f>D299+D300+D301</f>
        <v>8246</v>
      </c>
      <c r="E229" s="31">
        <f>E299+E300+E301</f>
        <v>0</v>
      </c>
      <c r="F229" s="37">
        <f>F299+F300+F301</f>
        <v>1318</v>
      </c>
      <c r="G229" s="6"/>
    </row>
    <row r="230" spans="1:7" ht="15.75" hidden="1">
      <c r="A230" s="17" t="s">
        <v>17</v>
      </c>
      <c r="B230" s="31">
        <f>B302+B303+B304</f>
        <v>8428</v>
      </c>
      <c r="C230" s="40">
        <f>C302+C303+C304</f>
        <v>809</v>
      </c>
      <c r="D230" s="40">
        <f>D302+D303+D304</f>
        <v>8389</v>
      </c>
      <c r="E230" s="31">
        <f>E302+E303+E304</f>
        <v>0</v>
      </c>
      <c r="F230" s="36">
        <f>F302+F303+F304</f>
        <v>1510</v>
      </c>
      <c r="G230" s="5"/>
    </row>
    <row r="231" spans="1:7" ht="15.75" hidden="1">
      <c r="A231" s="17"/>
      <c r="B231" s="41"/>
      <c r="C231" s="41"/>
      <c r="D231" s="41"/>
      <c r="E231" s="42"/>
      <c r="F231" s="43"/>
      <c r="G231" s="6"/>
    </row>
    <row r="232" spans="1:7" ht="15.75" hidden="1">
      <c r="A232" s="29" t="s">
        <v>70</v>
      </c>
      <c r="B232" s="31"/>
      <c r="C232" s="40"/>
      <c r="D232" s="40"/>
      <c r="E232" s="31"/>
      <c r="F232" s="36"/>
      <c r="G232" s="6"/>
    </row>
    <row r="233" spans="1:6" ht="15.75" hidden="1">
      <c r="A233" s="17" t="s">
        <v>14</v>
      </c>
      <c r="B233" s="36">
        <f>SUM(B307:B309)</f>
        <v>7275</v>
      </c>
      <c r="C233" s="36">
        <f>SUM(C307:C309)</f>
        <v>641</v>
      </c>
      <c r="D233" s="36">
        <f>SUM(D307:D309)</f>
        <v>8067</v>
      </c>
      <c r="E233" s="31">
        <f>SUM(E307:E309)</f>
        <v>0</v>
      </c>
      <c r="F233" s="37">
        <f>SUM(F307:F309)</f>
        <v>1343</v>
      </c>
    </row>
    <row r="234" spans="1:6" ht="15.75" hidden="1">
      <c r="A234" s="17" t="s">
        <v>15</v>
      </c>
      <c r="B234" s="36">
        <f>SUM(B310:B312)</f>
        <v>9086</v>
      </c>
      <c r="C234" s="36">
        <f>SUM(C310:C312)</f>
        <v>847</v>
      </c>
      <c r="D234" s="36">
        <f>SUM(D310:D312)</f>
        <v>8459</v>
      </c>
      <c r="E234" s="31">
        <f>SUM(E310:E312)</f>
        <v>0</v>
      </c>
      <c r="F234" s="37">
        <f>SUM(F310:F312)</f>
        <v>1513</v>
      </c>
    </row>
    <row r="235" spans="1:6" ht="15.75" hidden="1">
      <c r="A235" s="17" t="s">
        <v>16</v>
      </c>
      <c r="B235" s="36">
        <f>SUM(B313:B315)</f>
        <v>9471</v>
      </c>
      <c r="C235" s="36">
        <f>SUM(C313:C315)</f>
        <v>872</v>
      </c>
      <c r="D235" s="36">
        <f>SUM(D313:D315)</f>
        <v>9326</v>
      </c>
      <c r="E235" s="31">
        <f>SUM(E313:E315)</f>
        <v>0</v>
      </c>
      <c r="F235" s="37">
        <f>SUM(F313:F315)</f>
        <v>1371</v>
      </c>
    </row>
    <row r="236" spans="1:6" ht="15.75" hidden="1">
      <c r="A236" s="17" t="s">
        <v>17</v>
      </c>
      <c r="B236" s="36">
        <f>SUM(B316:B318)</f>
        <v>10729</v>
      </c>
      <c r="C236" s="36">
        <f>SUM(C316:C318)</f>
        <v>999</v>
      </c>
      <c r="D236" s="36">
        <f>SUM(D316:D318)</f>
        <v>9575</v>
      </c>
      <c r="E236" s="31">
        <f>SUM(E316:E318)</f>
        <v>0</v>
      </c>
      <c r="F236" s="37">
        <f>SUM(F316:F318)</f>
        <v>1179</v>
      </c>
    </row>
    <row r="237" spans="1:6" ht="15.75" hidden="1">
      <c r="A237" s="17"/>
      <c r="B237" s="31"/>
      <c r="C237" s="40"/>
      <c r="D237" s="36"/>
      <c r="E237" s="31"/>
      <c r="F237" s="37"/>
    </row>
    <row r="238" spans="1:7" ht="15.75" hidden="1">
      <c r="A238" s="29" t="s">
        <v>71</v>
      </c>
      <c r="B238" s="31"/>
      <c r="C238" s="40"/>
      <c r="D238" s="40"/>
      <c r="E238" s="31"/>
      <c r="F238" s="36"/>
      <c r="G238" s="6"/>
    </row>
    <row r="239" spans="1:6" ht="15.75" hidden="1">
      <c r="A239" s="17" t="s">
        <v>14</v>
      </c>
      <c r="B239" s="36">
        <f>SUM(B321:B323)</f>
        <v>10401</v>
      </c>
      <c r="C239" s="36">
        <f>SUM(C321:C323)</f>
        <v>632</v>
      </c>
      <c r="D239" s="36">
        <f>SUM(D321:D323)</f>
        <v>8778</v>
      </c>
      <c r="E239" s="36">
        <f>SUM(E321:E323)</f>
        <v>0</v>
      </c>
      <c r="F239" s="36">
        <f>SUM(F321:F323)</f>
        <v>1225</v>
      </c>
    </row>
    <row r="240" spans="1:6" ht="15.75" hidden="1">
      <c r="A240" s="17" t="s">
        <v>15</v>
      </c>
      <c r="B240" s="36">
        <f>SUM(B324:B326)</f>
        <v>11948</v>
      </c>
      <c r="C240" s="36">
        <f>SUM(C324:C326)</f>
        <v>590</v>
      </c>
      <c r="D240" s="36">
        <f>SUM(D324:D326)</f>
        <v>9393</v>
      </c>
      <c r="E240" s="31">
        <f>SUM(E324:E326)</f>
        <v>0</v>
      </c>
      <c r="F240" s="37">
        <f>SUM(F324:F326)</f>
        <v>1136</v>
      </c>
    </row>
    <row r="241" spans="1:6" ht="15.75" hidden="1">
      <c r="A241" s="17" t="s">
        <v>16</v>
      </c>
      <c r="B241" s="36">
        <f>SUM(B327:B329)</f>
        <v>12576</v>
      </c>
      <c r="C241" s="36">
        <f>SUM(C327:C329)</f>
        <v>878</v>
      </c>
      <c r="D241" s="36">
        <f>SUM(D327:D329)</f>
        <v>10247</v>
      </c>
      <c r="E241" s="31">
        <f>SUM(E327:E329)</f>
        <v>0</v>
      </c>
      <c r="F241" s="37">
        <f>SUM(F327:F329)</f>
        <v>1215</v>
      </c>
    </row>
    <row r="242" spans="1:6" ht="15.75" hidden="1">
      <c r="A242" s="17" t="s">
        <v>17</v>
      </c>
      <c r="B242" s="36">
        <f>SUM(B330:B332)</f>
        <v>8691</v>
      </c>
      <c r="C242" s="36">
        <f>SUM(C330:C332)</f>
        <v>834</v>
      </c>
      <c r="D242" s="36">
        <f>SUM(D330:D332)</f>
        <v>7582</v>
      </c>
      <c r="E242" s="31">
        <f>SUM(E330:E332)</f>
        <v>0</v>
      </c>
      <c r="F242" s="37">
        <f>SUM(F330:F332)</f>
        <v>1246</v>
      </c>
    </row>
    <row r="243" spans="1:6" ht="15.75" hidden="1">
      <c r="A243" s="17"/>
      <c r="B243" s="31"/>
      <c r="C243" s="36"/>
      <c r="D243" s="36"/>
      <c r="E243" s="31"/>
      <c r="F243" s="37"/>
    </row>
    <row r="244" spans="1:6" ht="15.75" hidden="1">
      <c r="A244" s="29" t="s">
        <v>72</v>
      </c>
      <c r="B244" s="31"/>
      <c r="C244" s="36"/>
      <c r="D244" s="36"/>
      <c r="E244" s="31"/>
      <c r="F244" s="37"/>
    </row>
    <row r="245" spans="1:6" ht="15.75" hidden="1">
      <c r="A245" s="53" t="s">
        <v>14</v>
      </c>
      <c r="B245" s="36">
        <f>SUM(B335:B337)</f>
        <v>7349</v>
      </c>
      <c r="C245" s="36">
        <f>SUM(C335:C337)</f>
        <v>853</v>
      </c>
      <c r="D245" s="36">
        <f>SUM(D335:D337)</f>
        <v>7714</v>
      </c>
      <c r="E245" s="36">
        <f>SUM(E335:E337)</f>
        <v>0</v>
      </c>
      <c r="F245" s="36">
        <f>SUM(F335:F337)</f>
        <v>1180</v>
      </c>
    </row>
    <row r="246" spans="1:6" ht="15.75" hidden="1">
      <c r="A246" s="53" t="s">
        <v>15</v>
      </c>
      <c r="B246" s="36">
        <f>SUM(B338:B340)</f>
        <v>8987</v>
      </c>
      <c r="C246" s="36">
        <f>SUM(C338:C340)</f>
        <v>769</v>
      </c>
      <c r="D246" s="36">
        <f>SUM(D338:D340)</f>
        <v>7704</v>
      </c>
      <c r="E246" s="36">
        <f>SUM(E338:E340)</f>
        <v>0</v>
      </c>
      <c r="F246" s="36">
        <f>SUM(F338:F340)</f>
        <v>1537</v>
      </c>
    </row>
    <row r="247" spans="1:6" ht="15.75" hidden="1">
      <c r="A247" s="53" t="s">
        <v>16</v>
      </c>
      <c r="B247" s="36">
        <f>SUM(B341:B343)</f>
        <v>13031</v>
      </c>
      <c r="C247" s="36">
        <f>SUM(C341:C343)</f>
        <v>968</v>
      </c>
      <c r="D247" s="36">
        <f>SUM(D341:D343)</f>
        <v>10091</v>
      </c>
      <c r="E247" s="36">
        <f>SUM(E341:E343)</f>
        <v>0</v>
      </c>
      <c r="F247" s="36">
        <f>SUM(F341:F343)</f>
        <v>1259</v>
      </c>
    </row>
    <row r="248" spans="1:6" ht="15.75" hidden="1">
      <c r="A248" s="53" t="s">
        <v>17</v>
      </c>
      <c r="B248" s="36">
        <f>B344+B345+B346</f>
        <v>9488</v>
      </c>
      <c r="C248" s="36">
        <f>C344+C345+C346</f>
        <v>1054</v>
      </c>
      <c r="D248" s="36">
        <f>D344+D345+D346</f>
        <v>6246</v>
      </c>
      <c r="E248" s="31">
        <f>E344+E345+E346</f>
        <v>0</v>
      </c>
      <c r="F248" s="37">
        <f>F344+F345+F346</f>
        <v>1315</v>
      </c>
    </row>
    <row r="249" spans="1:6" ht="15.75" hidden="1">
      <c r="A249" s="17"/>
      <c r="B249" s="31"/>
      <c r="C249" s="36"/>
      <c r="D249" s="36"/>
      <c r="E249" s="31"/>
      <c r="F249" s="37"/>
    </row>
    <row r="250" spans="1:6" ht="15.75" hidden="1">
      <c r="A250" s="29" t="s">
        <v>76</v>
      </c>
      <c r="B250" s="31"/>
      <c r="C250" s="36"/>
      <c r="D250" s="36"/>
      <c r="E250" s="31"/>
      <c r="F250" s="37"/>
    </row>
    <row r="251" spans="1:6" ht="15.75" hidden="1">
      <c r="A251" s="53" t="s">
        <v>14</v>
      </c>
      <c r="B251" s="36">
        <f>B349+B350+B351</f>
        <v>8951</v>
      </c>
      <c r="C251" s="36">
        <f>C349+C350+C351</f>
        <v>765</v>
      </c>
      <c r="D251" s="36">
        <f>D349+D350+D351</f>
        <v>6733</v>
      </c>
      <c r="E251" s="31">
        <f>E349+E350+E351</f>
        <v>0</v>
      </c>
      <c r="F251" s="37">
        <f>F349+F350+F351</f>
        <v>875</v>
      </c>
    </row>
    <row r="252" spans="1:6" ht="15.75" hidden="1">
      <c r="A252" s="53" t="s">
        <v>15</v>
      </c>
      <c r="B252" s="36">
        <f>SUM(B352:B354)</f>
        <v>9175</v>
      </c>
      <c r="C252" s="36">
        <f>SUM(C352:C354)</f>
        <v>438.58</v>
      </c>
      <c r="D252" s="36">
        <f>SUM(D352:D354)</f>
        <v>8303</v>
      </c>
      <c r="E252" s="36">
        <f>SUM(E352:E354)</f>
        <v>0</v>
      </c>
      <c r="F252" s="36">
        <f>SUM(F352:F354)</f>
        <v>1464.25</v>
      </c>
    </row>
    <row r="253" spans="1:6" ht="15.75" hidden="1">
      <c r="A253" s="53" t="s">
        <v>16</v>
      </c>
      <c r="B253" s="36">
        <f>B355+B356+B357</f>
        <v>9512</v>
      </c>
      <c r="C253" s="36">
        <f>C355+C356+C357</f>
        <v>262.5</v>
      </c>
      <c r="D253" s="36">
        <f>D355+D356+D357</f>
        <v>8006.2</v>
      </c>
      <c r="E253" s="36">
        <f>E355+E356+E357</f>
        <v>0</v>
      </c>
      <c r="F253" s="36">
        <f>F355+F356+F357</f>
        <v>1883</v>
      </c>
    </row>
    <row r="254" spans="1:6" ht="15.75" hidden="1">
      <c r="A254" s="53" t="s">
        <v>17</v>
      </c>
      <c r="B254" s="36">
        <f>B358+B359+B360</f>
        <v>9675</v>
      </c>
      <c r="C254" s="36">
        <f>C358+C359+C360</f>
        <v>100.80000000000001</v>
      </c>
      <c r="D254" s="36">
        <f>D358+D359+D360</f>
        <v>7803</v>
      </c>
      <c r="E254" s="36">
        <f>E358+E359+E360</f>
        <v>0</v>
      </c>
      <c r="F254" s="36">
        <f>F358+F359+F360</f>
        <v>1024</v>
      </c>
    </row>
    <row r="255" spans="1:6" ht="15.75" hidden="1">
      <c r="A255" s="17"/>
      <c r="B255" s="31"/>
      <c r="C255" s="36"/>
      <c r="D255" s="36"/>
      <c r="E255" s="31"/>
      <c r="F255" s="36"/>
    </row>
    <row r="256" spans="1:6" ht="15.75">
      <c r="A256" s="29" t="s">
        <v>77</v>
      </c>
      <c r="B256" s="31"/>
      <c r="C256" s="36"/>
      <c r="D256" s="36"/>
      <c r="E256" s="31"/>
      <c r="F256" s="36"/>
    </row>
    <row r="257" spans="1:6" ht="15.75" hidden="1">
      <c r="A257" s="53" t="s">
        <v>14</v>
      </c>
      <c r="B257" s="36">
        <f>B363+B364+B365</f>
        <v>7878</v>
      </c>
      <c r="C257" s="36">
        <f>C363+C364+C365</f>
        <v>90</v>
      </c>
      <c r="D257" s="36">
        <f>D363+D364+D365</f>
        <v>6588</v>
      </c>
      <c r="E257" s="36">
        <f>E363+E364+E365</f>
        <v>0</v>
      </c>
      <c r="F257" s="36">
        <f>F363+F364+F365</f>
        <v>1256</v>
      </c>
    </row>
    <row r="258" spans="1:6" ht="15.75">
      <c r="A258" s="53" t="s">
        <v>15</v>
      </c>
      <c r="B258" s="36">
        <f>SUM(B366:B368)</f>
        <v>6305</v>
      </c>
      <c r="C258" s="36">
        <f>SUM(C366:C368)</f>
        <v>74</v>
      </c>
      <c r="D258" s="36">
        <f>SUM(D366:D368)</f>
        <v>5043</v>
      </c>
      <c r="E258" s="36">
        <f>SUM(E366:E368)</f>
        <v>0</v>
      </c>
      <c r="F258" s="36">
        <f>SUM(F366:F368)</f>
        <v>1034</v>
      </c>
    </row>
    <row r="259" spans="1:6" ht="15.75">
      <c r="A259" s="53" t="s">
        <v>16</v>
      </c>
      <c r="B259" s="36">
        <f>B369+B370+B371</f>
        <v>8073</v>
      </c>
      <c r="C259" s="36">
        <f>C369+C370+C371</f>
        <v>154</v>
      </c>
      <c r="D259" s="36">
        <f>D369+D370+D371</f>
        <v>5504</v>
      </c>
      <c r="E259" s="36">
        <f>E369+E370+E371</f>
        <v>0</v>
      </c>
      <c r="F259" s="36">
        <f>F369+F370+F371</f>
        <v>666</v>
      </c>
    </row>
    <row r="260" spans="1:6" ht="15.75">
      <c r="A260" s="53" t="s">
        <v>17</v>
      </c>
      <c r="B260" s="36">
        <f>B372+B373+B374</f>
        <v>9281</v>
      </c>
      <c r="C260" s="36">
        <f>C372+C373+C374</f>
        <v>192</v>
      </c>
      <c r="D260" s="36">
        <f>D372+D373+D374</f>
        <v>5987</v>
      </c>
      <c r="E260" s="36">
        <f>E372+E373+E374</f>
        <v>0</v>
      </c>
      <c r="F260" s="36">
        <f>F372+F373+F374</f>
        <v>532</v>
      </c>
    </row>
    <row r="261" spans="1:6" ht="15.75">
      <c r="A261" s="17"/>
      <c r="B261" s="31"/>
      <c r="C261" s="36"/>
      <c r="D261" s="36"/>
      <c r="E261" s="31"/>
      <c r="F261" s="36"/>
    </row>
    <row r="262" spans="1:6" ht="15.75">
      <c r="A262" s="29" t="s">
        <v>78</v>
      </c>
      <c r="B262" s="31"/>
      <c r="C262" s="36"/>
      <c r="D262" s="36"/>
      <c r="E262" s="31"/>
      <c r="F262" s="36"/>
    </row>
    <row r="263" spans="1:6" ht="15.75">
      <c r="A263" s="53" t="s">
        <v>14</v>
      </c>
      <c r="B263" s="36">
        <f>B377+B378+B379</f>
        <v>6893</v>
      </c>
      <c r="C263" s="36">
        <f>C377+C378+C379</f>
        <v>78</v>
      </c>
      <c r="D263" s="36">
        <f>D377+D378+D379</f>
        <v>5020</v>
      </c>
      <c r="E263" s="36">
        <f>E377+E378+E379</f>
        <v>0</v>
      </c>
      <c r="F263" s="36">
        <f>F377+F378+F379</f>
        <v>558</v>
      </c>
    </row>
    <row r="264" spans="1:6" ht="15.75">
      <c r="A264" s="53" t="s">
        <v>15</v>
      </c>
      <c r="B264" s="36">
        <f>B380+B381+B382</f>
        <v>2661</v>
      </c>
      <c r="C264" s="36">
        <f>C380+C381+C382</f>
        <v>121</v>
      </c>
      <c r="D264" s="36">
        <f>D380+D381+D382</f>
        <v>2498</v>
      </c>
      <c r="E264" s="36">
        <f>E380+E381+E382</f>
        <v>0</v>
      </c>
      <c r="F264" s="36">
        <f>F380+F381+F382</f>
        <v>600</v>
      </c>
    </row>
    <row r="265" spans="1:6" ht="15.75">
      <c r="A265" s="53" t="s">
        <v>16</v>
      </c>
      <c r="B265" s="36">
        <f>B383+B384+B385</f>
        <v>6579</v>
      </c>
      <c r="C265" s="36">
        <f>C383+C384+C385</f>
        <v>59</v>
      </c>
      <c r="D265" s="36">
        <f>D383+D384+D385</f>
        <v>5740</v>
      </c>
      <c r="E265" s="36">
        <f>E383+E384+E385</f>
        <v>0</v>
      </c>
      <c r="F265" s="36">
        <f>F383+F384+F385</f>
        <v>509</v>
      </c>
    </row>
    <row r="266" spans="1:6" ht="15.75">
      <c r="A266" s="53" t="s">
        <v>17</v>
      </c>
      <c r="B266" s="36">
        <f>B386+B387+B388</f>
        <v>7209</v>
      </c>
      <c r="C266" s="36">
        <f>C386+C387+C388</f>
        <v>78</v>
      </c>
      <c r="D266" s="36">
        <f>D386+D387+D388</f>
        <v>6225</v>
      </c>
      <c r="E266" s="36">
        <f>E386+E387+E388</f>
        <v>0</v>
      </c>
      <c r="F266" s="36">
        <f>F386+F387+F388</f>
        <v>299</v>
      </c>
    </row>
    <row r="267" spans="1:6" ht="15.75">
      <c r="A267" s="53"/>
      <c r="B267" s="31"/>
      <c r="C267" s="36"/>
      <c r="D267" s="36"/>
      <c r="E267" s="31"/>
      <c r="F267" s="36"/>
    </row>
    <row r="268" spans="1:6" ht="15.75">
      <c r="A268" s="29" t="s">
        <v>79</v>
      </c>
      <c r="B268" s="31"/>
      <c r="C268" s="36"/>
      <c r="D268" s="36"/>
      <c r="E268" s="31"/>
      <c r="F268" s="36"/>
    </row>
    <row r="269" spans="1:6" ht="15.75">
      <c r="A269" s="53" t="s">
        <v>14</v>
      </c>
      <c r="B269" s="36">
        <f>B391+B392+B393</f>
        <v>7591</v>
      </c>
      <c r="C269" s="36">
        <f>C391+C392+C393</f>
        <v>73</v>
      </c>
      <c r="D269" s="36">
        <f>D391+D392+D393</f>
        <v>6078</v>
      </c>
      <c r="E269" s="36">
        <f>E391+E392+E393</f>
        <v>0</v>
      </c>
      <c r="F269" s="36">
        <f>F391+F392+F393</f>
        <v>454</v>
      </c>
    </row>
    <row r="270" spans="1:6" ht="15.75">
      <c r="A270" s="53" t="s">
        <v>15</v>
      </c>
      <c r="B270" s="36">
        <f>B394+B395+B396</f>
        <v>9745</v>
      </c>
      <c r="C270" s="36">
        <f>C394+C395+C396</f>
        <v>86</v>
      </c>
      <c r="D270" s="36">
        <f>D394+D395+D396</f>
        <v>10207</v>
      </c>
      <c r="E270" s="36">
        <f>E394+E395+E396</f>
        <v>0</v>
      </c>
      <c r="F270" s="36">
        <f>F394+F395+F396</f>
        <v>597</v>
      </c>
    </row>
    <row r="271" spans="1:6" ht="15.75">
      <c r="A271" s="53" t="s">
        <v>16</v>
      </c>
      <c r="B271" s="36">
        <f>B397+B398+B399</f>
        <v>8553</v>
      </c>
      <c r="C271" s="37">
        <f>C397+C398+C399</f>
        <v>124</v>
      </c>
      <c r="D271" s="36">
        <f>D397+D398+D399</f>
        <v>12364</v>
      </c>
      <c r="E271" s="31">
        <f>E397+E398+E399</f>
        <v>0</v>
      </c>
      <c r="F271" s="37">
        <f>F397+F398+F399</f>
        <v>1186</v>
      </c>
    </row>
    <row r="272" spans="1:6" ht="15.75">
      <c r="A272" s="53" t="s">
        <v>17</v>
      </c>
      <c r="B272" s="36">
        <f>B400+B401+B402</f>
        <v>11191</v>
      </c>
      <c r="C272" s="36">
        <f>C400+C401+C402</f>
        <v>68</v>
      </c>
      <c r="D272" s="36">
        <f>D400+D401+D402</f>
        <v>18532</v>
      </c>
      <c r="E272" s="36">
        <f>E400+E401+E402</f>
        <v>0</v>
      </c>
      <c r="F272" s="36">
        <f>F400+F401+F402</f>
        <v>1415</v>
      </c>
    </row>
    <row r="273" spans="1:6" ht="15.75">
      <c r="A273" s="53"/>
      <c r="B273" s="31"/>
      <c r="C273" s="36"/>
      <c r="D273" s="36"/>
      <c r="E273" s="31"/>
      <c r="F273" s="36"/>
    </row>
    <row r="274" spans="1:6" ht="15.75">
      <c r="A274" s="29" t="s">
        <v>80</v>
      </c>
      <c r="B274" s="31"/>
      <c r="C274" s="36"/>
      <c r="D274" s="36"/>
      <c r="E274" s="31"/>
      <c r="F274" s="36"/>
    </row>
    <row r="275" spans="1:6" ht="15.75">
      <c r="A275" s="53" t="s">
        <v>14</v>
      </c>
      <c r="B275" s="36">
        <f>B405+B406+B407</f>
        <v>12066</v>
      </c>
      <c r="C275" s="36">
        <f>C405+C406+C407</f>
        <v>111</v>
      </c>
      <c r="D275" s="36">
        <f>D405+D406+D407</f>
        <v>16946</v>
      </c>
      <c r="E275" s="36">
        <f>E405+E406+E407</f>
        <v>0</v>
      </c>
      <c r="F275" s="36">
        <f>F405+F406+F407</f>
        <v>905</v>
      </c>
    </row>
    <row r="276" spans="1:6" ht="15.75">
      <c r="A276" s="53" t="s">
        <v>15</v>
      </c>
      <c r="B276" s="36">
        <f>B408+B409+B410</f>
        <v>15513</v>
      </c>
      <c r="C276" s="36">
        <f>C408+C409+C410</f>
        <v>75</v>
      </c>
      <c r="D276" s="36">
        <f>D408+D409+D410</f>
        <v>19002</v>
      </c>
      <c r="E276" s="36">
        <f>E408+E409+E410</f>
        <v>0</v>
      </c>
      <c r="F276" s="36">
        <f>F408+F409+F410</f>
        <v>1198</v>
      </c>
    </row>
    <row r="277" spans="1:6" ht="15.75">
      <c r="A277" s="53"/>
      <c r="B277" s="33"/>
      <c r="C277" s="34"/>
      <c r="D277" s="34"/>
      <c r="E277" s="35"/>
      <c r="F277" s="34"/>
    </row>
    <row r="278" spans="1:6" ht="15.75" hidden="1">
      <c r="A278" s="32" t="s">
        <v>66</v>
      </c>
      <c r="B278" s="31"/>
      <c r="C278" s="26"/>
      <c r="D278" s="26"/>
      <c r="E278" s="25"/>
      <c r="F278" s="26"/>
    </row>
    <row r="279" spans="1:6" ht="15.75" hidden="1">
      <c r="A279" s="17" t="s">
        <v>29</v>
      </c>
      <c r="B279" s="31">
        <v>2199</v>
      </c>
      <c r="C279" s="26">
        <v>69</v>
      </c>
      <c r="D279" s="26">
        <v>2525</v>
      </c>
      <c r="E279" s="25"/>
      <c r="F279" s="26">
        <v>266</v>
      </c>
    </row>
    <row r="280" spans="1:6" ht="15.75" hidden="1">
      <c r="A280" s="17" t="s">
        <v>30</v>
      </c>
      <c r="B280" s="31">
        <v>2105</v>
      </c>
      <c r="C280" s="26">
        <v>22</v>
      </c>
      <c r="D280" s="26">
        <v>1951</v>
      </c>
      <c r="E280" s="25"/>
      <c r="F280" s="26">
        <v>495</v>
      </c>
    </row>
    <row r="281" spans="1:6" ht="15.75" hidden="1">
      <c r="A281" s="17" t="s">
        <v>31</v>
      </c>
      <c r="B281" s="31">
        <v>2328</v>
      </c>
      <c r="C281" s="26">
        <v>100</v>
      </c>
      <c r="D281" s="26">
        <v>2630</v>
      </c>
      <c r="E281" s="25"/>
      <c r="F281" s="26">
        <v>828</v>
      </c>
    </row>
    <row r="282" spans="1:6" ht="15.75" hidden="1">
      <c r="A282" s="17" t="s">
        <v>19</v>
      </c>
      <c r="B282" s="31">
        <v>2617</v>
      </c>
      <c r="C282" s="26">
        <v>92</v>
      </c>
      <c r="D282" s="26">
        <v>2846</v>
      </c>
      <c r="E282" s="25"/>
      <c r="F282" s="26">
        <v>588</v>
      </c>
    </row>
    <row r="283" spans="1:6" ht="15.75" hidden="1">
      <c r="A283" s="17" t="s">
        <v>20</v>
      </c>
      <c r="B283" s="31">
        <v>2306</v>
      </c>
      <c r="C283" s="26">
        <v>117</v>
      </c>
      <c r="D283" s="26">
        <v>2534</v>
      </c>
      <c r="E283" s="25"/>
      <c r="F283" s="26">
        <v>250</v>
      </c>
    </row>
    <row r="284" spans="1:6" ht="15.75" hidden="1">
      <c r="A284" s="17" t="s">
        <v>21</v>
      </c>
      <c r="B284" s="31">
        <v>2693</v>
      </c>
      <c r="C284" s="26">
        <v>130</v>
      </c>
      <c r="D284" s="26">
        <v>3041</v>
      </c>
      <c r="E284" s="25"/>
      <c r="F284" s="26">
        <v>770</v>
      </c>
    </row>
    <row r="285" spans="1:6" ht="15.75" hidden="1">
      <c r="A285" s="17" t="s">
        <v>22</v>
      </c>
      <c r="B285" s="31">
        <v>2913</v>
      </c>
      <c r="C285" s="26">
        <v>184</v>
      </c>
      <c r="D285" s="26">
        <v>2599</v>
      </c>
      <c r="E285" s="25"/>
      <c r="F285" s="26">
        <v>855</v>
      </c>
    </row>
    <row r="286" spans="1:6" ht="15.75" hidden="1">
      <c r="A286" s="17" t="s">
        <v>23</v>
      </c>
      <c r="B286" s="31">
        <v>2776</v>
      </c>
      <c r="C286" s="26">
        <v>146</v>
      </c>
      <c r="D286" s="26">
        <v>2869</v>
      </c>
      <c r="E286" s="25"/>
      <c r="F286" s="26">
        <v>755</v>
      </c>
    </row>
    <row r="287" spans="1:6" ht="15.75" hidden="1">
      <c r="A287" s="17" t="s">
        <v>24</v>
      </c>
      <c r="B287" s="31">
        <v>2817</v>
      </c>
      <c r="C287" s="26">
        <v>91</v>
      </c>
      <c r="D287" s="26">
        <v>2772</v>
      </c>
      <c r="E287" s="25"/>
      <c r="F287" s="26">
        <v>586</v>
      </c>
    </row>
    <row r="288" spans="1:6" ht="15.75" hidden="1">
      <c r="A288" s="17" t="s">
        <v>57</v>
      </c>
      <c r="B288" s="31">
        <v>2670</v>
      </c>
      <c r="C288" s="26">
        <v>328</v>
      </c>
      <c r="D288" s="26">
        <v>2706</v>
      </c>
      <c r="E288" s="25"/>
      <c r="F288" s="26">
        <v>847</v>
      </c>
    </row>
    <row r="289" spans="1:6" ht="15.75" hidden="1">
      <c r="A289" s="17" t="s">
        <v>58</v>
      </c>
      <c r="B289" s="31">
        <v>2330</v>
      </c>
      <c r="C289" s="26">
        <v>246</v>
      </c>
      <c r="D289" s="26">
        <v>2987</v>
      </c>
      <c r="E289" s="25"/>
      <c r="F289" s="26">
        <v>597</v>
      </c>
    </row>
    <row r="290" spans="1:7" ht="15.75" hidden="1">
      <c r="A290" s="17" t="s">
        <v>27</v>
      </c>
      <c r="B290" s="31">
        <v>2982</v>
      </c>
      <c r="C290" s="26">
        <v>185</v>
      </c>
      <c r="D290" s="26">
        <v>2802</v>
      </c>
      <c r="E290" s="25"/>
      <c r="F290" s="26">
        <v>419</v>
      </c>
      <c r="G290" s="5"/>
    </row>
    <row r="291" spans="1:7" ht="15.75" hidden="1">
      <c r="A291" s="17"/>
      <c r="B291" s="31"/>
      <c r="C291" s="26"/>
      <c r="D291" s="26"/>
      <c r="E291" s="25"/>
      <c r="F291" s="26"/>
      <c r="G291" s="5"/>
    </row>
    <row r="292" spans="1:7" ht="15.75" hidden="1">
      <c r="A292" s="29" t="s">
        <v>69</v>
      </c>
      <c r="B292" s="31"/>
      <c r="C292" s="26"/>
      <c r="D292" s="26"/>
      <c r="E292" s="25"/>
      <c r="F292" s="26"/>
      <c r="G292" s="5"/>
    </row>
    <row r="293" spans="1:7" ht="15.75" hidden="1">
      <c r="A293" s="17" t="s">
        <v>29</v>
      </c>
      <c r="B293" s="31">
        <v>2430</v>
      </c>
      <c r="C293" s="26">
        <v>239</v>
      </c>
      <c r="D293" s="26">
        <v>2321</v>
      </c>
      <c r="E293" s="25"/>
      <c r="F293" s="26">
        <v>596</v>
      </c>
      <c r="G293" s="5"/>
    </row>
    <row r="294" spans="1:7" ht="15.75" hidden="1">
      <c r="A294" s="17" t="s">
        <v>30</v>
      </c>
      <c r="B294" s="31">
        <v>2321</v>
      </c>
      <c r="C294" s="26">
        <v>243</v>
      </c>
      <c r="D294" s="26">
        <v>2325</v>
      </c>
      <c r="E294" s="25"/>
      <c r="F294" s="26">
        <v>443</v>
      </c>
      <c r="G294" s="5"/>
    </row>
    <row r="295" spans="1:7" ht="15.75" hidden="1">
      <c r="A295" s="17" t="s">
        <v>31</v>
      </c>
      <c r="B295" s="31">
        <v>2818</v>
      </c>
      <c r="C295" s="26">
        <v>249</v>
      </c>
      <c r="D295" s="26">
        <v>2599</v>
      </c>
      <c r="E295" s="25"/>
      <c r="F295" s="26">
        <v>452</v>
      </c>
      <c r="G295" s="5"/>
    </row>
    <row r="296" spans="1:7" ht="15.75" hidden="1">
      <c r="A296" s="17" t="s">
        <v>19</v>
      </c>
      <c r="B296" s="31">
        <v>2746</v>
      </c>
      <c r="C296" s="26">
        <v>229</v>
      </c>
      <c r="D296" s="26">
        <v>2731</v>
      </c>
      <c r="E296" s="25"/>
      <c r="F296" s="26">
        <v>426</v>
      </c>
      <c r="G296" s="5"/>
    </row>
    <row r="297" spans="1:7" ht="15.75" hidden="1">
      <c r="A297" s="17" t="s">
        <v>20</v>
      </c>
      <c r="B297" s="31">
        <f>2275+11</f>
        <v>2286</v>
      </c>
      <c r="C297" s="26">
        <v>183</v>
      </c>
      <c r="D297" s="26">
        <v>1931</v>
      </c>
      <c r="E297" s="25"/>
      <c r="F297" s="26">
        <f>565+1</f>
        <v>566</v>
      </c>
      <c r="G297" s="5"/>
    </row>
    <row r="298" spans="1:7" ht="15.75" hidden="1">
      <c r="A298" s="17" t="s">
        <v>21</v>
      </c>
      <c r="B298" s="31">
        <f>2870+16</f>
        <v>2886</v>
      </c>
      <c r="C298" s="26">
        <v>454</v>
      </c>
      <c r="D298" s="26">
        <v>2459</v>
      </c>
      <c r="E298" s="25"/>
      <c r="F298" s="26">
        <v>301</v>
      </c>
      <c r="G298" s="5"/>
    </row>
    <row r="299" spans="1:7" ht="15.75" hidden="1">
      <c r="A299" s="17" t="s">
        <v>22</v>
      </c>
      <c r="B299" s="31">
        <f>2815+18</f>
        <v>2833</v>
      </c>
      <c r="C299" s="26">
        <v>231</v>
      </c>
      <c r="D299" s="26">
        <v>2704</v>
      </c>
      <c r="E299" s="25"/>
      <c r="F299" s="26">
        <v>517</v>
      </c>
      <c r="G299" s="5"/>
    </row>
    <row r="300" spans="1:7" ht="15.75" hidden="1">
      <c r="A300" s="17" t="s">
        <v>23</v>
      </c>
      <c r="B300" s="31">
        <f>2934+15</f>
        <v>2949</v>
      </c>
      <c r="C300" s="40">
        <v>452</v>
      </c>
      <c r="D300" s="40">
        <v>2985</v>
      </c>
      <c r="E300" s="31"/>
      <c r="F300" s="36">
        <v>535</v>
      </c>
      <c r="G300" s="5"/>
    </row>
    <row r="301" spans="1:7" ht="15.75" hidden="1">
      <c r="A301" s="17" t="s">
        <v>24</v>
      </c>
      <c r="B301" s="31">
        <f>3149+2</f>
        <v>3151</v>
      </c>
      <c r="C301" s="40">
        <f>323+2</f>
        <v>325</v>
      </c>
      <c r="D301" s="40">
        <v>2557</v>
      </c>
      <c r="E301" s="31"/>
      <c r="F301" s="36">
        <f>264+2</f>
        <v>266</v>
      </c>
      <c r="G301" s="5"/>
    </row>
    <row r="302" spans="1:7" ht="15.75" hidden="1">
      <c r="A302" s="17" t="s">
        <v>57</v>
      </c>
      <c r="B302" s="31">
        <f>2329+6</f>
        <v>2335</v>
      </c>
      <c r="C302" s="40">
        <f>261+1</f>
        <v>262</v>
      </c>
      <c r="D302" s="40">
        <v>2303</v>
      </c>
      <c r="E302" s="31"/>
      <c r="F302" s="36">
        <f>410+1</f>
        <v>411</v>
      </c>
      <c r="G302" s="5"/>
    </row>
    <row r="303" spans="1:7" ht="15.75" hidden="1">
      <c r="A303" s="17" t="s">
        <v>58</v>
      </c>
      <c r="B303" s="31">
        <f>2641+21</f>
        <v>2662</v>
      </c>
      <c r="C303" s="40">
        <f>258+5</f>
        <v>263</v>
      </c>
      <c r="D303" s="40">
        <f>2453+39</f>
        <v>2492</v>
      </c>
      <c r="E303" s="31"/>
      <c r="F303" s="36">
        <f>603+3</f>
        <v>606</v>
      </c>
      <c r="G303" s="5"/>
    </row>
    <row r="304" spans="1:7" ht="15.75" hidden="1">
      <c r="A304" s="17" t="s">
        <v>27</v>
      </c>
      <c r="B304" s="31">
        <f>3398+33</f>
        <v>3431</v>
      </c>
      <c r="C304" s="40">
        <f>280+4</f>
        <v>284</v>
      </c>
      <c r="D304" s="40">
        <f>3541+53</f>
        <v>3594</v>
      </c>
      <c r="E304" s="31"/>
      <c r="F304" s="36">
        <f>490+3</f>
        <v>493</v>
      </c>
      <c r="G304" s="5"/>
    </row>
    <row r="305" spans="1:7" ht="15.75" hidden="1">
      <c r="A305" s="17"/>
      <c r="B305" s="31"/>
      <c r="C305" s="40"/>
      <c r="D305" s="40"/>
      <c r="E305" s="31"/>
      <c r="F305" s="36"/>
      <c r="G305" s="5"/>
    </row>
    <row r="306" spans="1:7" ht="15.75" hidden="1">
      <c r="A306" s="29" t="s">
        <v>70</v>
      </c>
      <c r="B306" s="31"/>
      <c r="C306" s="26"/>
      <c r="D306" s="26"/>
      <c r="E306" s="25"/>
      <c r="F306" s="26"/>
      <c r="G306" s="5"/>
    </row>
    <row r="307" spans="1:7" ht="15.75" hidden="1">
      <c r="A307" s="17" t="s">
        <v>29</v>
      </c>
      <c r="B307" s="31">
        <f>2191+27</f>
        <v>2218</v>
      </c>
      <c r="C307" s="26">
        <v>245</v>
      </c>
      <c r="D307" s="26">
        <v>2493</v>
      </c>
      <c r="E307" s="25"/>
      <c r="F307" s="26">
        <v>525</v>
      </c>
      <c r="G307" s="5"/>
    </row>
    <row r="308" spans="1:7" ht="15.75" hidden="1">
      <c r="A308" s="17" t="s">
        <v>30</v>
      </c>
      <c r="B308" s="31">
        <f>2219+1</f>
        <v>2220</v>
      </c>
      <c r="C308" s="26">
        <v>186</v>
      </c>
      <c r="D308" s="26">
        <f>2651+2</f>
        <v>2653</v>
      </c>
      <c r="E308" s="25"/>
      <c r="F308" s="26">
        <v>435</v>
      </c>
      <c r="G308" s="5"/>
    </row>
    <row r="309" spans="1:7" ht="15.75" hidden="1">
      <c r="A309" s="17" t="s">
        <v>31</v>
      </c>
      <c r="B309" s="31">
        <v>2837</v>
      </c>
      <c r="C309" s="26">
        <v>210</v>
      </c>
      <c r="D309" s="26">
        <v>2921</v>
      </c>
      <c r="E309" s="25"/>
      <c r="F309" s="26">
        <f>379+4</f>
        <v>383</v>
      </c>
      <c r="G309" s="5"/>
    </row>
    <row r="310" spans="1:7" ht="15.75" hidden="1">
      <c r="A310" s="17" t="s">
        <v>19</v>
      </c>
      <c r="B310" s="31">
        <f>2970+9</f>
        <v>2979</v>
      </c>
      <c r="C310" s="26">
        <f>267+4</f>
        <v>271</v>
      </c>
      <c r="D310" s="26">
        <v>2776</v>
      </c>
      <c r="E310" s="25"/>
      <c r="F310" s="26">
        <f>444+5</f>
        <v>449</v>
      </c>
      <c r="G310" s="5"/>
    </row>
    <row r="311" spans="1:7" ht="15.75" hidden="1">
      <c r="A311" s="17" t="s">
        <v>20</v>
      </c>
      <c r="B311" s="31">
        <f>2560+26</f>
        <v>2586</v>
      </c>
      <c r="C311" s="26">
        <f>282+4</f>
        <v>286</v>
      </c>
      <c r="D311" s="26">
        <v>2756</v>
      </c>
      <c r="E311" s="25"/>
      <c r="F311" s="26">
        <f>456+8</f>
        <v>464</v>
      </c>
      <c r="G311" s="5"/>
    </row>
    <row r="312" spans="1:7" ht="15.75" hidden="1">
      <c r="A312" s="17" t="s">
        <v>21</v>
      </c>
      <c r="B312" s="31">
        <f>3491+30</f>
        <v>3521</v>
      </c>
      <c r="C312" s="26">
        <f>288+2</f>
        <v>290</v>
      </c>
      <c r="D312" s="26">
        <f>2922+5</f>
        <v>2927</v>
      </c>
      <c r="E312" s="25"/>
      <c r="F312" s="26">
        <v>600</v>
      </c>
      <c r="G312" s="5"/>
    </row>
    <row r="313" spans="1:7" ht="16.5" customHeight="1" hidden="1">
      <c r="A313" s="17" t="s">
        <v>22</v>
      </c>
      <c r="B313" s="31">
        <f>3098+8</f>
        <v>3106</v>
      </c>
      <c r="C313" s="26">
        <v>304</v>
      </c>
      <c r="D313" s="26">
        <f>2911+13</f>
        <v>2924</v>
      </c>
      <c r="E313" s="25"/>
      <c r="F313" s="26">
        <f>382+1</f>
        <v>383</v>
      </c>
      <c r="G313" s="5"/>
    </row>
    <row r="314" spans="1:7" ht="15.75" hidden="1">
      <c r="A314" s="17" t="s">
        <v>23</v>
      </c>
      <c r="B314" s="31">
        <v>2595</v>
      </c>
      <c r="C314" s="26">
        <v>294</v>
      </c>
      <c r="D314" s="26">
        <v>3122</v>
      </c>
      <c r="E314" s="25"/>
      <c r="F314" s="26">
        <v>646</v>
      </c>
      <c r="G314" s="5"/>
    </row>
    <row r="315" spans="1:7" ht="15.75" hidden="1">
      <c r="A315" s="17" t="s">
        <v>67</v>
      </c>
      <c r="B315" s="31">
        <v>3770</v>
      </c>
      <c r="C315" s="26">
        <v>274</v>
      </c>
      <c r="D315" s="26">
        <v>3280</v>
      </c>
      <c r="E315" s="25"/>
      <c r="F315" s="26">
        <v>342</v>
      </c>
      <c r="G315" s="5"/>
    </row>
    <row r="316" spans="1:7" ht="15.75" hidden="1">
      <c r="A316" s="17" t="s">
        <v>57</v>
      </c>
      <c r="B316" s="31">
        <v>3407</v>
      </c>
      <c r="C316" s="26">
        <v>274</v>
      </c>
      <c r="D316" s="26">
        <v>3260</v>
      </c>
      <c r="E316" s="25"/>
      <c r="F316" s="26">
        <v>264</v>
      </c>
      <c r="G316" s="5"/>
    </row>
    <row r="317" spans="1:7" ht="15.75" hidden="1">
      <c r="A317" s="17" t="s">
        <v>68</v>
      </c>
      <c r="B317" s="31">
        <v>3542</v>
      </c>
      <c r="C317" s="26">
        <v>361</v>
      </c>
      <c r="D317" s="26">
        <v>3161</v>
      </c>
      <c r="E317" s="25"/>
      <c r="F317" s="26">
        <v>567</v>
      </c>
      <c r="G317" s="5"/>
    </row>
    <row r="318" spans="1:7" ht="15.75" hidden="1">
      <c r="A318" s="17" t="s">
        <v>27</v>
      </c>
      <c r="B318" s="31">
        <v>3780</v>
      </c>
      <c r="C318" s="26">
        <v>364</v>
      </c>
      <c r="D318" s="26">
        <v>3154</v>
      </c>
      <c r="E318" s="25"/>
      <c r="F318" s="26">
        <v>348</v>
      </c>
      <c r="G318" s="5"/>
    </row>
    <row r="319" spans="1:7" ht="15.75" hidden="1">
      <c r="A319" s="17"/>
      <c r="B319" s="31"/>
      <c r="C319" s="26"/>
      <c r="D319" s="26"/>
      <c r="E319" s="25"/>
      <c r="F319" s="26"/>
      <c r="G319" s="5"/>
    </row>
    <row r="320" spans="1:7" ht="15.75" hidden="1">
      <c r="A320" s="29" t="s">
        <v>71</v>
      </c>
      <c r="B320" s="31"/>
      <c r="C320" s="26"/>
      <c r="D320" s="26"/>
      <c r="E320" s="25"/>
      <c r="F320" s="26"/>
      <c r="G320" s="5"/>
    </row>
    <row r="321" spans="1:7" ht="15.75" hidden="1">
      <c r="A321" s="17" t="s">
        <v>29</v>
      </c>
      <c r="B321" s="31">
        <v>3619</v>
      </c>
      <c r="C321" s="26">
        <v>341</v>
      </c>
      <c r="D321" s="26">
        <v>2939</v>
      </c>
      <c r="E321" s="25"/>
      <c r="F321" s="26">
        <f>251+55</f>
        <v>306</v>
      </c>
      <c r="G321" s="5"/>
    </row>
    <row r="322" spans="1:7" ht="15.75" hidden="1">
      <c r="A322" s="17" t="s">
        <v>30</v>
      </c>
      <c r="B322" s="31">
        <v>3312</v>
      </c>
      <c r="C322" s="26">
        <v>254</v>
      </c>
      <c r="D322" s="26">
        <v>2803</v>
      </c>
      <c r="E322" s="25"/>
      <c r="F322" s="26">
        <f>366+133</f>
        <v>499</v>
      </c>
      <c r="G322" s="5"/>
    </row>
    <row r="323" spans="1:7" ht="15.75" hidden="1">
      <c r="A323" s="17" t="s">
        <v>31</v>
      </c>
      <c r="B323" s="31">
        <f>3460+10</f>
        <v>3470</v>
      </c>
      <c r="C323" s="36">
        <v>37</v>
      </c>
      <c r="D323" s="26">
        <f>3026+10</f>
        <v>3036</v>
      </c>
      <c r="E323" s="25"/>
      <c r="F323" s="26">
        <f>419+1</f>
        <v>420</v>
      </c>
      <c r="G323" s="5"/>
    </row>
    <row r="324" spans="1:7" ht="15.75" hidden="1">
      <c r="A324" s="17" t="s">
        <v>19</v>
      </c>
      <c r="B324" s="31">
        <f>3922+12</f>
        <v>3934</v>
      </c>
      <c r="C324" s="36">
        <v>249</v>
      </c>
      <c r="D324" s="26">
        <f>3091+9</f>
        <v>3100</v>
      </c>
      <c r="E324" s="25"/>
      <c r="F324" s="26">
        <v>387</v>
      </c>
      <c r="G324" s="5"/>
    </row>
    <row r="325" spans="1:7" ht="15.75" hidden="1">
      <c r="A325" s="17" t="s">
        <v>20</v>
      </c>
      <c r="B325" s="31">
        <f>3601+22</f>
        <v>3623</v>
      </c>
      <c r="C325" s="36">
        <v>32</v>
      </c>
      <c r="D325" s="26">
        <f>3093+8</f>
        <v>3101</v>
      </c>
      <c r="E325" s="25"/>
      <c r="F325" s="26">
        <v>319</v>
      </c>
      <c r="G325" s="5"/>
    </row>
    <row r="326" spans="1:7" ht="15.75" hidden="1">
      <c r="A326" s="17" t="s">
        <v>21</v>
      </c>
      <c r="B326" s="31">
        <f>4369+22</f>
        <v>4391</v>
      </c>
      <c r="C326" s="36">
        <f>305+4</f>
        <v>309</v>
      </c>
      <c r="D326" s="26">
        <f>3188+4</f>
        <v>3192</v>
      </c>
      <c r="E326" s="25"/>
      <c r="F326" s="26">
        <f>426+4</f>
        <v>430</v>
      </c>
      <c r="G326" s="5"/>
    </row>
    <row r="327" spans="1:7" ht="15.75" hidden="1">
      <c r="A327" s="17" t="s">
        <v>22</v>
      </c>
      <c r="B327" s="31">
        <f>4159</f>
        <v>4159</v>
      </c>
      <c r="C327" s="36">
        <v>358</v>
      </c>
      <c r="D327" s="26">
        <v>3322</v>
      </c>
      <c r="E327" s="25"/>
      <c r="F327" s="26">
        <f>341+2</f>
        <v>343</v>
      </c>
      <c r="G327" s="5"/>
    </row>
    <row r="328" spans="1:7" ht="15.75" hidden="1">
      <c r="A328" s="17" t="s">
        <v>23</v>
      </c>
      <c r="B328" s="31">
        <f>4712+20</f>
        <v>4732</v>
      </c>
      <c r="C328" s="36">
        <v>245</v>
      </c>
      <c r="D328" s="26">
        <f>3785+19</f>
        <v>3804</v>
      </c>
      <c r="E328" s="25"/>
      <c r="F328" s="26">
        <f>522+8</f>
        <v>530</v>
      </c>
      <c r="G328" s="5"/>
    </row>
    <row r="329" spans="1:7" ht="15.75" hidden="1">
      <c r="A329" s="17" t="s">
        <v>67</v>
      </c>
      <c r="B329" s="31">
        <v>3685</v>
      </c>
      <c r="C329" s="36">
        <v>275</v>
      </c>
      <c r="D329" s="26">
        <v>3121</v>
      </c>
      <c r="E329" s="25"/>
      <c r="F329" s="26">
        <v>342</v>
      </c>
      <c r="G329" s="5"/>
    </row>
    <row r="330" spans="1:7" ht="15.75" hidden="1">
      <c r="A330" s="17" t="s">
        <v>57</v>
      </c>
      <c r="B330" s="31">
        <v>3161</v>
      </c>
      <c r="C330" s="36">
        <v>304</v>
      </c>
      <c r="D330" s="26">
        <v>2757</v>
      </c>
      <c r="E330" s="25"/>
      <c r="F330" s="26">
        <v>296</v>
      </c>
      <c r="G330" s="5"/>
    </row>
    <row r="331" spans="1:7" ht="15.75" hidden="1">
      <c r="A331" s="17" t="s">
        <v>68</v>
      </c>
      <c r="B331" s="31">
        <v>2848</v>
      </c>
      <c r="C331" s="36">
        <v>300</v>
      </c>
      <c r="D331" s="26">
        <v>2696</v>
      </c>
      <c r="E331" s="25"/>
      <c r="F331" s="26">
        <v>380</v>
      </c>
      <c r="G331" s="5"/>
    </row>
    <row r="332" spans="1:7" ht="15.75" hidden="1">
      <c r="A332" s="17" t="s">
        <v>27</v>
      </c>
      <c r="B332" s="31">
        <v>2682</v>
      </c>
      <c r="C332" s="36">
        <v>230</v>
      </c>
      <c r="D332" s="26">
        <v>2129</v>
      </c>
      <c r="E332" s="25"/>
      <c r="F332" s="26">
        <v>570</v>
      </c>
      <c r="G332" s="5"/>
    </row>
    <row r="333" spans="1:7" ht="15.75" hidden="1">
      <c r="A333" s="17"/>
      <c r="B333" s="31"/>
      <c r="C333" s="36"/>
      <c r="D333" s="26"/>
      <c r="E333" s="25"/>
      <c r="F333" s="26"/>
      <c r="G333" s="5"/>
    </row>
    <row r="334" spans="1:7" ht="15.75" hidden="1">
      <c r="A334" s="29" t="s">
        <v>72</v>
      </c>
      <c r="B334" s="31"/>
      <c r="C334" s="36"/>
      <c r="D334" s="26"/>
      <c r="E334" s="25"/>
      <c r="F334" s="26"/>
      <c r="G334" s="5"/>
    </row>
    <row r="335" spans="1:7" ht="15.75" hidden="1">
      <c r="A335" s="17" t="s">
        <v>29</v>
      </c>
      <c r="B335" s="31">
        <f>2712+13</f>
        <v>2725</v>
      </c>
      <c r="C335" s="36">
        <v>258</v>
      </c>
      <c r="D335" s="26">
        <f>2352+7</f>
        <v>2359</v>
      </c>
      <c r="E335" s="25"/>
      <c r="F335" s="26">
        <f>342+1</f>
        <v>343</v>
      </c>
      <c r="G335" s="5"/>
    </row>
    <row r="336" spans="1:7" ht="15.75" hidden="1">
      <c r="A336" s="17" t="s">
        <v>30</v>
      </c>
      <c r="B336" s="31">
        <f>2257+11</f>
        <v>2268</v>
      </c>
      <c r="C336" s="36">
        <v>234</v>
      </c>
      <c r="D336" s="26">
        <f>2437+7</f>
        <v>2444</v>
      </c>
      <c r="E336" s="25"/>
      <c r="F336" s="26">
        <f>455+1</f>
        <v>456</v>
      </c>
      <c r="G336" s="5"/>
    </row>
    <row r="337" spans="1:7" ht="15.75" hidden="1">
      <c r="A337" s="17" t="s">
        <v>31</v>
      </c>
      <c r="B337" s="31">
        <f>2344+12</f>
        <v>2356</v>
      </c>
      <c r="C337" s="36">
        <f>360+1</f>
        <v>361</v>
      </c>
      <c r="D337" s="26">
        <f>2902+9</f>
        <v>2911</v>
      </c>
      <c r="E337" s="25"/>
      <c r="F337" s="26">
        <f>380+1</f>
        <v>381</v>
      </c>
      <c r="G337" s="5"/>
    </row>
    <row r="338" spans="1:7" ht="15.75" hidden="1">
      <c r="A338" s="17" t="s">
        <v>19</v>
      </c>
      <c r="B338" s="31">
        <f>2912+11</f>
        <v>2923</v>
      </c>
      <c r="C338" s="36">
        <v>280</v>
      </c>
      <c r="D338" s="26">
        <f>2504+8</f>
        <v>2512</v>
      </c>
      <c r="E338" s="25"/>
      <c r="F338" s="26">
        <f>493+1</f>
        <v>494</v>
      </c>
      <c r="G338" s="5"/>
    </row>
    <row r="339" spans="1:7" ht="15.75" hidden="1">
      <c r="A339" s="17" t="s">
        <v>20</v>
      </c>
      <c r="B339" s="31">
        <v>3066</v>
      </c>
      <c r="C339" s="36">
        <v>233</v>
      </c>
      <c r="D339" s="26">
        <v>2583</v>
      </c>
      <c r="E339" s="25"/>
      <c r="F339" s="26">
        <v>438</v>
      </c>
      <c r="G339" s="5"/>
    </row>
    <row r="340" spans="1:7" ht="15.75" hidden="1">
      <c r="A340" s="17" t="s">
        <v>21</v>
      </c>
      <c r="B340" s="31">
        <f>3023-25</f>
        <v>2998</v>
      </c>
      <c r="C340" s="36">
        <f>277-21</f>
        <v>256</v>
      </c>
      <c r="D340" s="26">
        <f>2657-48</f>
        <v>2609</v>
      </c>
      <c r="E340" s="25"/>
      <c r="F340" s="26">
        <f>620-15</f>
        <v>605</v>
      </c>
      <c r="G340" s="5"/>
    </row>
    <row r="341" spans="1:7" ht="15.75" hidden="1">
      <c r="A341" s="17" t="s">
        <v>22</v>
      </c>
      <c r="B341" s="31">
        <f>3844+19</f>
        <v>3863</v>
      </c>
      <c r="C341" s="36">
        <f>324+2</f>
        <v>326</v>
      </c>
      <c r="D341" s="26">
        <f>3186+3</f>
        <v>3189</v>
      </c>
      <c r="E341" s="25"/>
      <c r="F341" s="26">
        <v>395</v>
      </c>
      <c r="G341" s="5"/>
    </row>
    <row r="342" spans="1:7" ht="15.75" hidden="1">
      <c r="A342" s="17" t="s">
        <v>23</v>
      </c>
      <c r="B342" s="31">
        <f>5783+29</f>
        <v>5812</v>
      </c>
      <c r="C342" s="36">
        <f>351+1</f>
        <v>352</v>
      </c>
      <c r="D342" s="36">
        <v>4450</v>
      </c>
      <c r="E342" s="25"/>
      <c r="F342" s="26">
        <f>633+3</f>
        <v>636</v>
      </c>
      <c r="G342" s="5"/>
    </row>
    <row r="343" spans="1:7" ht="15.75" hidden="1">
      <c r="A343" s="17" t="s">
        <v>67</v>
      </c>
      <c r="B343" s="31">
        <f>3340+16</f>
        <v>3356</v>
      </c>
      <c r="C343" s="36">
        <f>288+2</f>
        <v>290</v>
      </c>
      <c r="D343" s="36">
        <f>2440+12</f>
        <v>2452</v>
      </c>
      <c r="E343" s="25"/>
      <c r="F343" s="26">
        <v>228</v>
      </c>
      <c r="G343" s="5"/>
    </row>
    <row r="344" spans="1:7" ht="15.75" hidden="1">
      <c r="A344" s="17" t="s">
        <v>57</v>
      </c>
      <c r="B344" s="31">
        <f>3352+16</f>
        <v>3368</v>
      </c>
      <c r="C344" s="36">
        <f>330+2+86</f>
        <v>418</v>
      </c>
      <c r="D344" s="36">
        <f>2262+11</f>
        <v>2273</v>
      </c>
      <c r="E344" s="25"/>
      <c r="F344" s="26">
        <f>304+2+86</f>
        <v>392</v>
      </c>
      <c r="G344" s="5"/>
    </row>
    <row r="345" spans="1:7" ht="15.75" hidden="1">
      <c r="A345" s="17" t="s">
        <v>68</v>
      </c>
      <c r="B345" s="31">
        <v>2556</v>
      </c>
      <c r="C345" s="36">
        <v>313</v>
      </c>
      <c r="D345" s="36">
        <v>1777</v>
      </c>
      <c r="E345" s="25"/>
      <c r="F345" s="26">
        <v>490</v>
      </c>
      <c r="G345" s="5"/>
    </row>
    <row r="346" spans="1:7" ht="15.75" hidden="1">
      <c r="A346" s="17" t="s">
        <v>27</v>
      </c>
      <c r="B346" s="31">
        <f>3538+26</f>
        <v>3564</v>
      </c>
      <c r="C346" s="36">
        <f>319+4</f>
        <v>323</v>
      </c>
      <c r="D346" s="36">
        <f>2185+11</f>
        <v>2196</v>
      </c>
      <c r="E346" s="25"/>
      <c r="F346" s="26">
        <f>428+1+4</f>
        <v>433</v>
      </c>
      <c r="G346" s="5"/>
    </row>
    <row r="347" spans="1:7" ht="15.75" hidden="1">
      <c r="A347" s="17"/>
      <c r="B347" s="31"/>
      <c r="C347" s="36"/>
      <c r="D347" s="36"/>
      <c r="E347" s="25"/>
      <c r="F347" s="26"/>
      <c r="G347" s="5"/>
    </row>
    <row r="348" spans="1:7" ht="15.75" hidden="1">
      <c r="A348" s="29" t="s">
        <v>76</v>
      </c>
      <c r="B348" s="31"/>
      <c r="C348" s="36"/>
      <c r="D348" s="36"/>
      <c r="E348" s="25"/>
      <c r="F348" s="26"/>
      <c r="G348" s="5"/>
    </row>
    <row r="349" spans="1:7" ht="15.75" hidden="1">
      <c r="A349" s="17" t="s">
        <v>29</v>
      </c>
      <c r="B349" s="31">
        <f>3136+16</f>
        <v>3152</v>
      </c>
      <c r="C349" s="36">
        <v>278</v>
      </c>
      <c r="D349" s="36">
        <f>2045+1</f>
        <v>2046</v>
      </c>
      <c r="E349" s="25"/>
      <c r="F349" s="26">
        <f>341+1</f>
        <v>342</v>
      </c>
      <c r="G349" s="5"/>
    </row>
    <row r="350" spans="1:7" ht="15.75" hidden="1">
      <c r="A350" s="17" t="s">
        <v>30</v>
      </c>
      <c r="B350" s="31">
        <f>2870+18</f>
        <v>2888</v>
      </c>
      <c r="C350" s="36">
        <f>275+3</f>
        <v>278</v>
      </c>
      <c r="D350" s="36">
        <f>2272-3</f>
        <v>2269</v>
      </c>
      <c r="E350" s="25"/>
      <c r="F350" s="26">
        <f>264-2</f>
        <v>262</v>
      </c>
      <c r="G350" s="5"/>
    </row>
    <row r="351" spans="1:7" ht="15.75" hidden="1">
      <c r="A351" s="17" t="s">
        <v>31</v>
      </c>
      <c r="B351" s="31">
        <f>2890+21</f>
        <v>2911</v>
      </c>
      <c r="C351" s="36">
        <f>208+1</f>
        <v>209</v>
      </c>
      <c r="D351" s="36">
        <f>2409+9</f>
        <v>2418</v>
      </c>
      <c r="E351" s="25"/>
      <c r="F351" s="26">
        <f>263+8</f>
        <v>271</v>
      </c>
      <c r="G351" s="5"/>
    </row>
    <row r="352" spans="1:7" ht="15.75" hidden="1">
      <c r="A352" s="17" t="s">
        <v>19</v>
      </c>
      <c r="B352" s="31">
        <f>3073+10</f>
        <v>3083</v>
      </c>
      <c r="C352" s="36">
        <f>214+0.03</f>
        <v>214.03</v>
      </c>
      <c r="D352" s="36">
        <f>2782+6</f>
        <v>2788</v>
      </c>
      <c r="E352" s="25"/>
      <c r="F352" s="26">
        <f>339+1</f>
        <v>340</v>
      </c>
      <c r="G352" s="5"/>
    </row>
    <row r="353" spans="1:7" ht="15.75" hidden="1">
      <c r="A353" s="17" t="s">
        <v>20</v>
      </c>
      <c r="B353" s="31">
        <f>2973+7</f>
        <v>2980</v>
      </c>
      <c r="C353" s="36">
        <f>135+2+0.25</f>
        <v>137.25</v>
      </c>
      <c r="D353" s="36">
        <f>3140+10</f>
        <v>3150</v>
      </c>
      <c r="E353" s="25"/>
      <c r="F353" s="26">
        <f>631+0.25</f>
        <v>631.25</v>
      </c>
      <c r="G353" s="5"/>
    </row>
    <row r="354" spans="1:7" ht="15.75" hidden="1">
      <c r="A354" s="53" t="s">
        <v>21</v>
      </c>
      <c r="B354" s="31">
        <f>3103+9</f>
        <v>3112</v>
      </c>
      <c r="C354" s="36">
        <f>87+0.3</f>
        <v>87.3</v>
      </c>
      <c r="D354" s="36">
        <f>2361+4</f>
        <v>2365</v>
      </c>
      <c r="E354" s="25"/>
      <c r="F354" s="26">
        <v>493</v>
      </c>
      <c r="G354" s="5"/>
    </row>
    <row r="355" spans="1:7" ht="15.75" hidden="1">
      <c r="A355" s="53" t="s">
        <v>22</v>
      </c>
      <c r="B355" s="36">
        <f>2945+7</f>
        <v>2952</v>
      </c>
      <c r="C355" s="36">
        <f>106+1</f>
        <v>107</v>
      </c>
      <c r="D355" s="36">
        <f>2586+0.2</f>
        <v>2586.2</v>
      </c>
      <c r="E355" s="25"/>
      <c r="F355" s="26">
        <f>688+1</f>
        <v>689</v>
      </c>
      <c r="G355" s="5"/>
    </row>
    <row r="356" spans="1:7" ht="15.75" hidden="1">
      <c r="A356" s="53" t="s">
        <v>23</v>
      </c>
      <c r="B356" s="31">
        <f>3259+3</f>
        <v>3262</v>
      </c>
      <c r="C356" s="36">
        <f>67+0.5</f>
        <v>67.5</v>
      </c>
      <c r="D356" s="36">
        <f>2738+2</f>
        <v>2740</v>
      </c>
      <c r="E356" s="25"/>
      <c r="F356" s="26">
        <f>706+6</f>
        <v>712</v>
      </c>
      <c r="G356" s="5"/>
    </row>
    <row r="357" spans="1:7" ht="15.75" hidden="1">
      <c r="A357" s="53" t="s">
        <v>67</v>
      </c>
      <c r="B357" s="31">
        <f>3293+5</f>
        <v>3298</v>
      </c>
      <c r="C357" s="36">
        <f>87+1</f>
        <v>88</v>
      </c>
      <c r="D357" s="36">
        <f>2677+11-8</f>
        <v>2680</v>
      </c>
      <c r="E357" s="25"/>
      <c r="F357" s="26">
        <v>482</v>
      </c>
      <c r="G357" s="5"/>
    </row>
    <row r="358" spans="1:7" ht="15.75" hidden="1">
      <c r="A358" s="53" t="s">
        <v>57</v>
      </c>
      <c r="B358" s="31">
        <f>3315+7-58</f>
        <v>3264</v>
      </c>
      <c r="C358" s="36">
        <f>60+0.6-6</f>
        <v>54.6</v>
      </c>
      <c r="D358" s="36">
        <f>3089+7-143</f>
        <v>2953</v>
      </c>
      <c r="E358" s="25"/>
      <c r="F358" s="26">
        <f>315+0-11</f>
        <v>304</v>
      </c>
      <c r="G358" s="5"/>
    </row>
    <row r="359" spans="1:7" ht="15.75" hidden="1">
      <c r="A359" s="53" t="s">
        <v>68</v>
      </c>
      <c r="B359" s="31">
        <f>2803+4-55</f>
        <v>2752</v>
      </c>
      <c r="C359" s="36">
        <f>8.4-0.1-1</f>
        <v>7.300000000000001</v>
      </c>
      <c r="D359" s="36">
        <v>2290</v>
      </c>
      <c r="E359" s="25"/>
      <c r="F359" s="26">
        <f>304+2+2</f>
        <v>308</v>
      </c>
      <c r="G359" s="5"/>
    </row>
    <row r="360" spans="1:7" ht="15.75" hidden="1">
      <c r="A360" s="53" t="s">
        <v>27</v>
      </c>
      <c r="B360" s="31">
        <f>3728+3-72</f>
        <v>3659</v>
      </c>
      <c r="C360" s="36">
        <f>38+0.9</f>
        <v>38.9</v>
      </c>
      <c r="D360" s="36">
        <f>2612-52</f>
        <v>2560</v>
      </c>
      <c r="E360" s="25"/>
      <c r="F360" s="26">
        <v>412</v>
      </c>
      <c r="G360" s="5"/>
    </row>
    <row r="361" spans="1:7" ht="15.75" hidden="1">
      <c r="A361" s="17"/>
      <c r="B361" s="31"/>
      <c r="C361" s="36"/>
      <c r="D361" s="36"/>
      <c r="E361" s="25"/>
      <c r="F361" s="26"/>
      <c r="G361" s="5"/>
    </row>
    <row r="362" spans="1:7" ht="15.75" hidden="1">
      <c r="A362" s="29" t="s">
        <v>77</v>
      </c>
      <c r="B362" s="31"/>
      <c r="C362" s="36"/>
      <c r="D362" s="36"/>
      <c r="E362" s="25"/>
      <c r="F362" s="26"/>
      <c r="G362" s="5"/>
    </row>
    <row r="363" spans="1:7" ht="15.75" hidden="1">
      <c r="A363" s="53" t="s">
        <v>29</v>
      </c>
      <c r="B363" s="31">
        <f>2755+1</f>
        <v>2756</v>
      </c>
      <c r="C363" s="36">
        <v>0</v>
      </c>
      <c r="D363" s="36">
        <f>2264+5</f>
        <v>2269</v>
      </c>
      <c r="E363" s="25"/>
      <c r="F363" s="26">
        <f>550+1</f>
        <v>551</v>
      </c>
      <c r="G363" s="5"/>
    </row>
    <row r="364" spans="1:7" ht="15.75" hidden="1">
      <c r="A364" s="53" t="s">
        <v>30</v>
      </c>
      <c r="B364" s="31">
        <f>2716+5-78</f>
        <v>2643</v>
      </c>
      <c r="C364" s="36">
        <f>34-3</f>
        <v>31</v>
      </c>
      <c r="D364" s="36">
        <f>2139+5-38</f>
        <v>2106</v>
      </c>
      <c r="E364" s="25"/>
      <c r="F364" s="26">
        <f>400+3</f>
        <v>403</v>
      </c>
      <c r="G364" s="5"/>
    </row>
    <row r="365" spans="1:7" ht="15.75" hidden="1">
      <c r="A365" s="53" t="s">
        <v>31</v>
      </c>
      <c r="B365" s="31">
        <f>2473+6</f>
        <v>2479</v>
      </c>
      <c r="C365" s="36">
        <v>59</v>
      </c>
      <c r="D365" s="36">
        <f>2209+4</f>
        <v>2213</v>
      </c>
      <c r="E365" s="25"/>
      <c r="F365" s="26">
        <v>302</v>
      </c>
      <c r="G365" s="5"/>
    </row>
    <row r="366" spans="1:7" ht="15.75" hidden="1">
      <c r="A366" s="53" t="s">
        <v>19</v>
      </c>
      <c r="B366" s="31">
        <v>1964</v>
      </c>
      <c r="C366" s="36">
        <v>20</v>
      </c>
      <c r="D366" s="36">
        <f>1884</f>
        <v>1884</v>
      </c>
      <c r="E366" s="25"/>
      <c r="F366" s="26">
        <v>377</v>
      </c>
      <c r="G366" s="5"/>
    </row>
    <row r="367" spans="1:7" ht="15.75" hidden="1">
      <c r="A367" s="53" t="s">
        <v>20</v>
      </c>
      <c r="B367" s="31">
        <v>1517</v>
      </c>
      <c r="C367" s="36">
        <v>26</v>
      </c>
      <c r="D367" s="36">
        <v>1322</v>
      </c>
      <c r="E367" s="25"/>
      <c r="F367" s="26">
        <v>293</v>
      </c>
      <c r="G367" s="5"/>
    </row>
    <row r="368" spans="1:7" ht="15.75" hidden="1">
      <c r="A368" s="53" t="s">
        <v>21</v>
      </c>
      <c r="B368" s="31">
        <f>2823+1</f>
        <v>2824</v>
      </c>
      <c r="C368" s="36">
        <v>28</v>
      </c>
      <c r="D368" s="36">
        <f>1840-3</f>
        <v>1837</v>
      </c>
      <c r="E368" s="25"/>
      <c r="F368" s="26">
        <f>361+3</f>
        <v>364</v>
      </c>
      <c r="G368" s="5"/>
    </row>
    <row r="369" spans="1:7" ht="15.75" hidden="1">
      <c r="A369" s="53" t="s">
        <v>22</v>
      </c>
      <c r="B369" s="31">
        <f>2403+2</f>
        <v>2405</v>
      </c>
      <c r="C369" s="36">
        <v>34</v>
      </c>
      <c r="D369" s="36">
        <f>1751-3</f>
        <v>1748</v>
      </c>
      <c r="E369" s="25"/>
      <c r="F369" s="26">
        <f>216-1</f>
        <v>215</v>
      </c>
      <c r="G369" s="5"/>
    </row>
    <row r="370" spans="1:7" ht="15.75" hidden="1">
      <c r="A370" s="53" t="s">
        <v>23</v>
      </c>
      <c r="B370" s="31">
        <f>2721+1</f>
        <v>2722</v>
      </c>
      <c r="C370" s="36">
        <v>40</v>
      </c>
      <c r="D370" s="36">
        <f>1601+4</f>
        <v>1605</v>
      </c>
      <c r="E370" s="25"/>
      <c r="F370" s="26">
        <v>188</v>
      </c>
      <c r="G370" s="5"/>
    </row>
    <row r="371" spans="1:7" ht="15.75" hidden="1">
      <c r="A371" s="53" t="s">
        <v>67</v>
      </c>
      <c r="B371" s="36">
        <f>2945+1</f>
        <v>2946</v>
      </c>
      <c r="C371" s="36">
        <v>80</v>
      </c>
      <c r="D371" s="36">
        <f>2147+4</f>
        <v>2151</v>
      </c>
      <c r="E371" s="25"/>
      <c r="F371" s="26">
        <v>263</v>
      </c>
      <c r="G371" s="5"/>
    </row>
    <row r="372" spans="1:7" ht="15.75" hidden="1">
      <c r="A372" s="53" t="s">
        <v>57</v>
      </c>
      <c r="B372" s="31">
        <f>2884+4</f>
        <v>2888</v>
      </c>
      <c r="C372" s="36">
        <v>67</v>
      </c>
      <c r="D372" s="36">
        <f>1932+4</f>
        <v>1936</v>
      </c>
      <c r="E372" s="25"/>
      <c r="F372" s="26">
        <f>227+2</f>
        <v>229</v>
      </c>
      <c r="G372" s="5"/>
    </row>
    <row r="373" spans="1:7" ht="15.75" hidden="1">
      <c r="A373" s="53" t="s">
        <v>68</v>
      </c>
      <c r="B373" s="31">
        <f>3295+6</f>
        <v>3301</v>
      </c>
      <c r="C373" s="36">
        <v>58</v>
      </c>
      <c r="D373" s="36">
        <f>1996+3</f>
        <v>1999</v>
      </c>
      <c r="E373" s="25"/>
      <c r="F373" s="26">
        <v>227</v>
      </c>
      <c r="G373" s="5"/>
    </row>
    <row r="374" spans="1:7" ht="15.75" hidden="1">
      <c r="A374" s="53" t="s">
        <v>27</v>
      </c>
      <c r="B374" s="31">
        <f>3124+3-35</f>
        <v>3092</v>
      </c>
      <c r="C374" s="36">
        <v>67</v>
      </c>
      <c r="D374" s="36">
        <f>2057-5</f>
        <v>2052</v>
      </c>
      <c r="E374" s="25"/>
      <c r="F374" s="26">
        <v>76</v>
      </c>
      <c r="G374" s="5"/>
    </row>
    <row r="375" spans="1:7" ht="15.75" hidden="1">
      <c r="A375" s="17"/>
      <c r="B375" s="31"/>
      <c r="C375" s="36"/>
      <c r="D375" s="36"/>
      <c r="E375" s="25"/>
      <c r="F375" s="26"/>
      <c r="G375" s="5"/>
    </row>
    <row r="376" spans="1:7" ht="15.75">
      <c r="A376" s="29" t="s">
        <v>78</v>
      </c>
      <c r="B376" s="31"/>
      <c r="C376" s="36"/>
      <c r="D376" s="36"/>
      <c r="E376" s="25"/>
      <c r="F376" s="26"/>
      <c r="G376" s="5"/>
    </row>
    <row r="377" spans="1:7" ht="15.75" hidden="1">
      <c r="A377" s="53" t="s">
        <v>29</v>
      </c>
      <c r="B377" s="31">
        <f>2763+5</f>
        <v>2768</v>
      </c>
      <c r="C377" s="36">
        <v>30</v>
      </c>
      <c r="D377" s="36">
        <v>1207</v>
      </c>
      <c r="E377" s="25"/>
      <c r="F377" s="26">
        <v>189</v>
      </c>
      <c r="G377" s="5"/>
    </row>
    <row r="378" spans="1:7" ht="15.75" hidden="1">
      <c r="A378" s="53" t="s">
        <v>30</v>
      </c>
      <c r="B378" s="31">
        <f>1613+5</f>
        <v>1618</v>
      </c>
      <c r="C378" s="36">
        <v>48</v>
      </c>
      <c r="D378" s="36">
        <v>1657</v>
      </c>
      <c r="E378" s="25"/>
      <c r="F378" s="26">
        <v>190</v>
      </c>
      <c r="G378" s="5"/>
    </row>
    <row r="379" spans="1:7" ht="15.75" hidden="1">
      <c r="A379" s="53" t="s">
        <v>31</v>
      </c>
      <c r="B379" s="31">
        <f>2504+3</f>
        <v>2507</v>
      </c>
      <c r="C379" s="36">
        <v>0</v>
      </c>
      <c r="D379" s="36">
        <v>2156</v>
      </c>
      <c r="E379" s="25"/>
      <c r="F379" s="26">
        <v>179</v>
      </c>
      <c r="G379" s="5"/>
    </row>
    <row r="380" spans="1:7" ht="15.75" hidden="1">
      <c r="A380" s="53" t="s">
        <v>19</v>
      </c>
      <c r="B380" s="31">
        <f>1166+10</f>
        <v>1176</v>
      </c>
      <c r="C380" s="36">
        <v>55</v>
      </c>
      <c r="D380" s="36">
        <v>1037</v>
      </c>
      <c r="E380" s="25"/>
      <c r="F380" s="26">
        <f>301+2</f>
        <v>303</v>
      </c>
      <c r="G380" s="5"/>
    </row>
    <row r="381" spans="1:7" ht="15.75" hidden="1">
      <c r="A381" s="53" t="s">
        <v>20</v>
      </c>
      <c r="B381" s="31">
        <f>432+7</f>
        <v>439</v>
      </c>
      <c r="C381" s="36">
        <v>27</v>
      </c>
      <c r="D381" s="36">
        <v>716</v>
      </c>
      <c r="E381" s="25"/>
      <c r="F381" s="26">
        <v>108</v>
      </c>
      <c r="G381" s="5"/>
    </row>
    <row r="382" spans="1:7" ht="15.75" hidden="1">
      <c r="A382" s="53" t="s">
        <v>21</v>
      </c>
      <c r="B382" s="31">
        <f>1044+2</f>
        <v>1046</v>
      </c>
      <c r="C382" s="36">
        <v>39</v>
      </c>
      <c r="D382" s="36">
        <f>743+2</f>
        <v>745</v>
      </c>
      <c r="E382" s="25"/>
      <c r="F382" s="26">
        <v>189</v>
      </c>
      <c r="G382" s="5"/>
    </row>
    <row r="383" spans="1:7" ht="15.75">
      <c r="A383" s="53" t="s">
        <v>22</v>
      </c>
      <c r="B383" s="31">
        <f>1498+2</f>
        <v>1500</v>
      </c>
      <c r="C383" s="36">
        <v>16</v>
      </c>
      <c r="D383" s="36">
        <f>1288-2</f>
        <v>1286</v>
      </c>
      <c r="E383" s="25"/>
      <c r="F383" s="26">
        <v>229</v>
      </c>
      <c r="G383" s="5"/>
    </row>
    <row r="384" spans="1:7" ht="15.75">
      <c r="A384" s="53" t="s">
        <v>23</v>
      </c>
      <c r="B384" s="31">
        <f>2283+7</f>
        <v>2290</v>
      </c>
      <c r="C384" s="36">
        <v>40</v>
      </c>
      <c r="D384" s="36">
        <f>1998-5</f>
        <v>1993</v>
      </c>
      <c r="E384" s="25"/>
      <c r="F384" s="26">
        <v>102</v>
      </c>
      <c r="G384" s="5"/>
    </row>
    <row r="385" spans="1:7" ht="15.75">
      <c r="A385" s="53" t="s">
        <v>67</v>
      </c>
      <c r="B385" s="31">
        <f>2790-1</f>
        <v>2789</v>
      </c>
      <c r="C385" s="36">
        <v>3</v>
      </c>
      <c r="D385" s="36">
        <f>2466-5</f>
        <v>2461</v>
      </c>
      <c r="E385" s="25"/>
      <c r="F385" s="26">
        <f>179-1</f>
        <v>178</v>
      </c>
      <c r="G385" s="5"/>
    </row>
    <row r="386" spans="1:7" ht="15.75">
      <c r="A386" s="53" t="s">
        <v>57</v>
      </c>
      <c r="B386" s="31">
        <f>1915+9</f>
        <v>1924</v>
      </c>
      <c r="C386" s="36">
        <v>28</v>
      </c>
      <c r="D386" s="36">
        <f>1695-4</f>
        <v>1691</v>
      </c>
      <c r="E386" s="25"/>
      <c r="F386" s="26">
        <v>113</v>
      </c>
      <c r="G386" s="5"/>
    </row>
    <row r="387" spans="1:7" ht="15.75">
      <c r="A387" s="53" t="s">
        <v>68</v>
      </c>
      <c r="B387" s="31">
        <f>2823+8</f>
        <v>2831</v>
      </c>
      <c r="C387" s="36">
        <v>5</v>
      </c>
      <c r="D387" s="36">
        <f>2180-4</f>
        <v>2176</v>
      </c>
      <c r="E387" s="25"/>
      <c r="F387" s="26">
        <v>110</v>
      </c>
      <c r="G387" s="5"/>
    </row>
    <row r="388" spans="1:7" ht="15.75">
      <c r="A388" s="53" t="s">
        <v>27</v>
      </c>
      <c r="B388" s="31">
        <f>2446+8</f>
        <v>2454</v>
      </c>
      <c r="C388" s="36">
        <v>45</v>
      </c>
      <c r="D388" s="36">
        <f>2360-2</f>
        <v>2358</v>
      </c>
      <c r="E388" s="25"/>
      <c r="F388" s="26">
        <v>76</v>
      </c>
      <c r="G388" s="5"/>
    </row>
    <row r="389" spans="1:7" ht="15.75">
      <c r="A389" s="53"/>
      <c r="B389" s="31"/>
      <c r="C389" s="36"/>
      <c r="D389" s="36"/>
      <c r="E389" s="25"/>
      <c r="F389" s="26"/>
      <c r="G389" s="5"/>
    </row>
    <row r="390" spans="1:7" ht="15.75">
      <c r="A390" s="29" t="s">
        <v>79</v>
      </c>
      <c r="B390" s="31"/>
      <c r="C390" s="36"/>
      <c r="D390" s="36"/>
      <c r="E390" s="25"/>
      <c r="F390" s="26"/>
      <c r="G390" s="5"/>
    </row>
    <row r="391" spans="1:7" ht="15.75">
      <c r="A391" s="53" t="s">
        <v>29</v>
      </c>
      <c r="B391" s="31">
        <f>2441+11-40</f>
        <v>2412</v>
      </c>
      <c r="C391" s="36">
        <f>19+1</f>
        <v>20</v>
      </c>
      <c r="D391" s="36">
        <f>1881-3</f>
        <v>1878</v>
      </c>
      <c r="E391" s="25"/>
      <c r="F391" s="26">
        <f>113+1</f>
        <v>114</v>
      </c>
      <c r="G391" s="5"/>
    </row>
    <row r="392" spans="1:7" ht="15.75">
      <c r="A392" s="53" t="s">
        <v>30</v>
      </c>
      <c r="B392" s="31">
        <f>1924+14</f>
        <v>1938</v>
      </c>
      <c r="C392" s="36">
        <f>17+1</f>
        <v>18</v>
      </c>
      <c r="D392" s="36">
        <v>1527</v>
      </c>
      <c r="E392" s="25"/>
      <c r="F392" s="26">
        <v>186</v>
      </c>
      <c r="G392" s="5"/>
    </row>
    <row r="393" spans="1:7" ht="15.75">
      <c r="A393" s="53" t="s">
        <v>31</v>
      </c>
      <c r="B393" s="31">
        <f>3226+15</f>
        <v>3241</v>
      </c>
      <c r="C393" s="36">
        <f>34+1</f>
        <v>35</v>
      </c>
      <c r="D393" s="36">
        <v>2673</v>
      </c>
      <c r="E393" s="25"/>
      <c r="F393" s="26">
        <f>151+3</f>
        <v>154</v>
      </c>
      <c r="G393" s="5"/>
    </row>
    <row r="394" spans="1:7" ht="15.75">
      <c r="A394" s="53" t="s">
        <v>19</v>
      </c>
      <c r="B394" s="31">
        <f>3180+13</f>
        <v>3193</v>
      </c>
      <c r="C394" s="36">
        <f>42-2</f>
        <v>40</v>
      </c>
      <c r="D394" s="36">
        <f>3540-4</f>
        <v>3536</v>
      </c>
      <c r="E394" s="25"/>
      <c r="F394" s="26">
        <f>75-3</f>
        <v>72</v>
      </c>
      <c r="G394" s="5"/>
    </row>
    <row r="395" spans="1:7" ht="15.75">
      <c r="A395" s="53" t="s">
        <v>20</v>
      </c>
      <c r="B395" s="31">
        <f>3255+8</f>
        <v>3263</v>
      </c>
      <c r="C395" s="36">
        <f>19+1</f>
        <v>20</v>
      </c>
      <c r="D395" s="36">
        <f>2896+4</f>
        <v>2900</v>
      </c>
      <c r="E395" s="25"/>
      <c r="F395" s="26">
        <v>226</v>
      </c>
      <c r="G395" s="5"/>
    </row>
    <row r="396" spans="1:7" ht="15.75">
      <c r="A396" s="53" t="s">
        <v>21</v>
      </c>
      <c r="B396" s="31">
        <f>3288+5-4</f>
        <v>3289</v>
      </c>
      <c r="C396" s="36">
        <v>26</v>
      </c>
      <c r="D396" s="36">
        <v>3771</v>
      </c>
      <c r="E396" s="25"/>
      <c r="F396" s="26">
        <f>301-2</f>
        <v>299</v>
      </c>
      <c r="G396" s="5"/>
    </row>
    <row r="397" spans="1:7" ht="15.75">
      <c r="A397" s="53" t="s">
        <v>22</v>
      </c>
      <c r="B397" s="31">
        <f>2178+14-208</f>
        <v>1984</v>
      </c>
      <c r="C397" s="36">
        <v>48</v>
      </c>
      <c r="D397" s="36">
        <f>3384+3</f>
        <v>3387</v>
      </c>
      <c r="E397" s="25"/>
      <c r="F397" s="26">
        <f>465+2</f>
        <v>467</v>
      </c>
      <c r="G397" s="5"/>
    </row>
    <row r="398" spans="1:7" ht="15.75">
      <c r="A398" s="53" t="s">
        <v>23</v>
      </c>
      <c r="B398" s="31">
        <f>4271+2-165</f>
        <v>4108</v>
      </c>
      <c r="C398" s="36">
        <v>42</v>
      </c>
      <c r="D398" s="36">
        <f>4269</f>
        <v>4269</v>
      </c>
      <c r="E398" s="25"/>
      <c r="F398" s="26">
        <f>226+1</f>
        <v>227</v>
      </c>
      <c r="G398" s="5"/>
    </row>
    <row r="399" spans="1:7" ht="15.75">
      <c r="A399" s="53" t="s">
        <v>67</v>
      </c>
      <c r="B399" s="31">
        <f>2696+8-243</f>
        <v>2461</v>
      </c>
      <c r="C399" s="36">
        <v>34</v>
      </c>
      <c r="D399" s="36">
        <f>4709-1</f>
        <v>4708</v>
      </c>
      <c r="E399" s="25"/>
      <c r="F399" s="26">
        <f>490+2</f>
        <v>492</v>
      </c>
      <c r="G399" s="5"/>
    </row>
    <row r="400" spans="1:7" ht="15.75">
      <c r="A400" s="53" t="s">
        <v>57</v>
      </c>
      <c r="B400" s="31">
        <f>3547+1</f>
        <v>3548</v>
      </c>
      <c r="C400" s="36">
        <v>29</v>
      </c>
      <c r="D400" s="36">
        <v>5536</v>
      </c>
      <c r="E400" s="25"/>
      <c r="F400" s="26">
        <f>658+1</f>
        <v>659</v>
      </c>
      <c r="G400" s="5"/>
    </row>
    <row r="401" spans="1:7" ht="15.75">
      <c r="A401" s="53" t="s">
        <v>68</v>
      </c>
      <c r="B401" s="31">
        <f>3421+1</f>
        <v>3422</v>
      </c>
      <c r="C401" s="36">
        <v>23</v>
      </c>
      <c r="D401" s="36">
        <f>6277-4</f>
        <v>6273</v>
      </c>
      <c r="E401" s="25"/>
      <c r="F401" s="26">
        <f>566+1</f>
        <v>567</v>
      </c>
      <c r="G401" s="5"/>
    </row>
    <row r="402" spans="1:7" ht="15.75">
      <c r="A402" s="53" t="s">
        <v>27</v>
      </c>
      <c r="B402" s="31">
        <f>4219+2</f>
        <v>4221</v>
      </c>
      <c r="C402" s="36">
        <v>16</v>
      </c>
      <c r="D402" s="36">
        <f>6740-17</f>
        <v>6723</v>
      </c>
      <c r="E402" s="25"/>
      <c r="F402" s="26">
        <f>188+1</f>
        <v>189</v>
      </c>
      <c r="G402" s="5"/>
    </row>
    <row r="403" spans="1:7" ht="15.75">
      <c r="A403" s="53"/>
      <c r="B403" s="31"/>
      <c r="C403" s="36"/>
      <c r="D403" s="36"/>
      <c r="E403" s="25"/>
      <c r="F403" s="26"/>
      <c r="G403" s="5"/>
    </row>
    <row r="404" spans="1:7" ht="15.75">
      <c r="A404" s="29" t="s">
        <v>80</v>
      </c>
      <c r="B404" s="31"/>
      <c r="C404" s="36"/>
      <c r="D404" s="36"/>
      <c r="E404" s="25"/>
      <c r="F404" s="26"/>
      <c r="G404" s="5"/>
    </row>
    <row r="405" spans="1:7" ht="15.75">
      <c r="A405" s="53" t="s">
        <v>29</v>
      </c>
      <c r="B405" s="31">
        <f>3963+2</f>
        <v>3965</v>
      </c>
      <c r="C405" s="36">
        <v>58</v>
      </c>
      <c r="D405" s="36">
        <f>5495-20</f>
        <v>5475</v>
      </c>
      <c r="E405" s="25"/>
      <c r="F405" s="26">
        <f>189-1</f>
        <v>188</v>
      </c>
      <c r="G405" s="5"/>
    </row>
    <row r="406" spans="1:7" ht="15.75">
      <c r="A406" s="53" t="s">
        <v>30</v>
      </c>
      <c r="B406" s="31">
        <f>4112-18</f>
        <v>4094</v>
      </c>
      <c r="C406" s="36">
        <v>27</v>
      </c>
      <c r="D406" s="36">
        <f>5520-31</f>
        <v>5489</v>
      </c>
      <c r="E406" s="25"/>
      <c r="F406" s="26">
        <f>266-3</f>
        <v>263</v>
      </c>
      <c r="G406" s="5"/>
    </row>
    <row r="407" spans="1:7" ht="15.75">
      <c r="A407" s="53" t="s">
        <v>31</v>
      </c>
      <c r="B407" s="31">
        <f>4024-25+8</f>
        <v>4007</v>
      </c>
      <c r="C407" s="36">
        <v>26</v>
      </c>
      <c r="D407" s="36">
        <f>6014-32</f>
        <v>5982</v>
      </c>
      <c r="E407" s="25"/>
      <c r="F407" s="26">
        <v>454</v>
      </c>
      <c r="G407" s="5"/>
    </row>
    <row r="408" spans="1:7" ht="15.75">
      <c r="A408" s="53" t="s">
        <v>19</v>
      </c>
      <c r="B408" s="31">
        <f>4613+17</f>
        <v>4630</v>
      </c>
      <c r="C408" s="36">
        <v>32</v>
      </c>
      <c r="D408" s="36">
        <f>6036+26</f>
        <v>6062</v>
      </c>
      <c r="E408" s="25"/>
      <c r="F408" s="26">
        <v>415</v>
      </c>
      <c r="G408" s="5"/>
    </row>
    <row r="409" spans="1:7" ht="15.75">
      <c r="A409" s="53" t="s">
        <v>20</v>
      </c>
      <c r="B409" s="31">
        <f>5570+15-11</f>
        <v>5574</v>
      </c>
      <c r="C409" s="36">
        <v>20</v>
      </c>
      <c r="D409" s="36">
        <f>5862+30</f>
        <v>5892</v>
      </c>
      <c r="E409" s="25"/>
      <c r="F409" s="26">
        <f>522-2</f>
        <v>520</v>
      </c>
      <c r="G409" s="5"/>
    </row>
    <row r="410" spans="1:7" ht="15.75">
      <c r="A410" s="53" t="s">
        <v>21</v>
      </c>
      <c r="B410" s="31">
        <f>5326+7-24</f>
        <v>5309</v>
      </c>
      <c r="C410" s="36">
        <v>23</v>
      </c>
      <c r="D410" s="36">
        <f>7030+18</f>
        <v>7048</v>
      </c>
      <c r="E410" s="25"/>
      <c r="F410" s="26">
        <f>264-1</f>
        <v>263</v>
      </c>
      <c r="G410" s="5"/>
    </row>
    <row r="411" spans="1:7" ht="15.75">
      <c r="A411" s="53" t="s">
        <v>22</v>
      </c>
      <c r="B411" s="31">
        <f>4515+3-28</f>
        <v>4490</v>
      </c>
      <c r="C411" s="36">
        <v>24</v>
      </c>
      <c r="D411" s="36">
        <f>6452+9-28</f>
        <v>6433</v>
      </c>
      <c r="E411" s="25"/>
      <c r="F411" s="26">
        <v>415</v>
      </c>
      <c r="G411" s="5"/>
    </row>
    <row r="412" spans="1:7" ht="15.75">
      <c r="A412" s="17"/>
      <c r="B412" s="31"/>
      <c r="C412" s="36"/>
      <c r="D412" s="36"/>
      <c r="E412" s="44"/>
      <c r="F412" s="26"/>
      <c r="G412" s="5"/>
    </row>
    <row r="413" spans="1:6" ht="15.75">
      <c r="A413" s="7"/>
      <c r="B413" s="8"/>
      <c r="C413" s="8"/>
      <c r="D413" s="8"/>
      <c r="E413" s="45"/>
      <c r="F413" s="46"/>
    </row>
    <row r="414" spans="1:6" ht="15.75">
      <c r="A414" s="10" t="s">
        <v>54</v>
      </c>
      <c r="B414" s="11"/>
      <c r="C414" s="11"/>
      <c r="D414" s="11"/>
      <c r="E414" s="11"/>
      <c r="F414" s="47"/>
    </row>
    <row r="415" spans="1:6" ht="15.75" hidden="1">
      <c r="A415" s="48" t="s">
        <v>63</v>
      </c>
      <c r="B415" s="11"/>
      <c r="C415" s="11"/>
      <c r="D415" s="11"/>
      <c r="E415" s="11"/>
      <c r="F415" s="13"/>
    </row>
    <row r="416" spans="1:6" ht="15.75" hidden="1">
      <c r="A416" s="48" t="s">
        <v>59</v>
      </c>
      <c r="B416" s="11"/>
      <c r="C416" s="11"/>
      <c r="D416" s="11"/>
      <c r="E416" s="11"/>
      <c r="F416" s="13"/>
    </row>
    <row r="417" spans="1:6" ht="15.75">
      <c r="A417" s="10"/>
      <c r="B417" s="11"/>
      <c r="C417" s="11"/>
      <c r="D417" s="11"/>
      <c r="E417" s="11"/>
      <c r="F417" s="13"/>
    </row>
    <row r="418" spans="1:6" ht="15.75">
      <c r="A418" s="56" t="s">
        <v>37</v>
      </c>
      <c r="B418" s="11"/>
      <c r="C418" s="11"/>
      <c r="D418" s="11"/>
      <c r="E418" s="11"/>
      <c r="F418" s="13"/>
    </row>
    <row r="419" spans="1:6" ht="15.75">
      <c r="A419" s="49"/>
      <c r="B419" s="50"/>
      <c r="C419" s="50"/>
      <c r="D419" s="15"/>
      <c r="E419" s="51"/>
      <c r="F419" s="52"/>
    </row>
    <row r="420" spans="2:6" ht="15.75">
      <c r="B420" s="2"/>
      <c r="C420" s="2"/>
      <c r="E420" s="1"/>
      <c r="F420" s="1"/>
    </row>
    <row r="421" spans="5:6" ht="15.75">
      <c r="E421" s="1"/>
      <c r="F421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2018-10-10T06:41:19Z</dcterms:modified>
  <cp:category/>
  <cp:version/>
  <cp:contentType/>
  <cp:contentStatus/>
</cp:coreProperties>
</file>